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5180" windowHeight="9240"/>
  </bookViews>
  <sheets>
    <sheet name="PLANTA" sheetId="1" r:id="rId1"/>
    <sheet name="PLAZO" sheetId="2" state="hidden" r:id="rId2"/>
  </sheets>
  <definedNames>
    <definedName name="_xlnm._FilterDatabase" localSheetId="0" hidden="1">PLANTA!$A$4:$R$17</definedName>
  </definedNames>
  <calcPr calcId="124519"/>
</workbook>
</file>

<file path=xl/calcChain.xml><?xml version="1.0" encoding="utf-8"?>
<calcChain xmlns="http://schemas.openxmlformats.org/spreadsheetml/2006/main">
  <c r="R8" i="1"/>
  <c r="R9"/>
  <c r="R10"/>
  <c r="R11"/>
  <c r="R12"/>
  <c r="R13"/>
  <c r="R14"/>
  <c r="R15"/>
  <c r="R16"/>
  <c r="R17"/>
  <c r="N92" i="2"/>
  <c r="P92"/>
  <c r="R92"/>
  <c r="S92"/>
  <c r="T92"/>
  <c r="V92"/>
  <c r="W92"/>
  <c r="Y92"/>
  <c r="Z92"/>
  <c r="AB92"/>
  <c r="AC92"/>
  <c r="AD92"/>
  <c r="J92"/>
  <c r="K92"/>
  <c r="L92"/>
  <c r="H92"/>
  <c r="F92"/>
  <c r="AA90"/>
  <c r="Q90"/>
  <c r="U90"/>
  <c r="AF90"/>
  <c r="O90"/>
  <c r="G90"/>
  <c r="M90"/>
  <c r="Q88"/>
  <c r="O88"/>
  <c r="G88"/>
  <c r="M88"/>
  <c r="Q86"/>
  <c r="O86"/>
  <c r="G86"/>
  <c r="M86"/>
  <c r="Q84"/>
  <c r="O84"/>
  <c r="G84"/>
  <c r="M84"/>
  <c r="Q82"/>
  <c r="O82"/>
  <c r="G82"/>
  <c r="M82"/>
  <c r="Q80"/>
  <c r="O80"/>
  <c r="U80"/>
  <c r="G80"/>
  <c r="M80"/>
  <c r="AA81"/>
  <c r="Q75"/>
  <c r="O75"/>
  <c r="G75"/>
  <c r="M75"/>
  <c r="Q73"/>
  <c r="O73"/>
  <c r="G73"/>
  <c r="M73"/>
  <c r="U73"/>
  <c r="Q71"/>
  <c r="O71"/>
  <c r="G71"/>
  <c r="M71"/>
  <c r="U71"/>
  <c r="Q69"/>
  <c r="O69"/>
  <c r="G69"/>
  <c r="M69"/>
  <c r="AG69"/>
  <c r="Q65"/>
  <c r="O65"/>
  <c r="G65"/>
  <c r="M65"/>
  <c r="U65"/>
  <c r="AA63"/>
  <c r="Q63"/>
  <c r="G63"/>
  <c r="M63"/>
  <c r="U63"/>
  <c r="AF63"/>
  <c r="Q60"/>
  <c r="U60"/>
  <c r="O60"/>
  <c r="G60"/>
  <c r="M60"/>
  <c r="AG60"/>
  <c r="Q58"/>
  <c r="O58"/>
  <c r="G58"/>
  <c r="M58"/>
  <c r="Q56"/>
  <c r="O56"/>
  <c r="I56"/>
  <c r="I92"/>
  <c r="G56"/>
  <c r="Q54"/>
  <c r="O54"/>
  <c r="U54"/>
  <c r="AF54"/>
  <c r="G54"/>
  <c r="M54"/>
  <c r="Q52"/>
  <c r="O52"/>
  <c r="G52"/>
  <c r="M52"/>
  <c r="X52"/>
  <c r="Q45"/>
  <c r="O45"/>
  <c r="G45"/>
  <c r="M45"/>
  <c r="Q43"/>
  <c r="O43"/>
  <c r="G43"/>
  <c r="M43"/>
  <c r="Q41"/>
  <c r="O41"/>
  <c r="G41"/>
  <c r="M41"/>
  <c r="Q38"/>
  <c r="O38"/>
  <c r="G38"/>
  <c r="M38"/>
  <c r="X38"/>
  <c r="Q37"/>
  <c r="O37"/>
  <c r="G37"/>
  <c r="M37"/>
  <c r="Q35"/>
  <c r="O35"/>
  <c r="G35"/>
  <c r="M35"/>
  <c r="X35"/>
  <c r="Q34"/>
  <c r="O34"/>
  <c r="G34"/>
  <c r="M34"/>
  <c r="Q32"/>
  <c r="O32"/>
  <c r="G32"/>
  <c r="M32"/>
  <c r="Q30"/>
  <c r="O30"/>
  <c r="G30"/>
  <c r="M30"/>
  <c r="U30"/>
  <c r="Q27"/>
  <c r="O27"/>
  <c r="U27"/>
  <c r="G27"/>
  <c r="M27"/>
  <c r="Q25"/>
  <c r="O25"/>
  <c r="G25"/>
  <c r="M25"/>
  <c r="AA23"/>
  <c r="Q23"/>
  <c r="O23"/>
  <c r="G23"/>
  <c r="M23"/>
  <c r="Q21"/>
  <c r="O21"/>
  <c r="G21"/>
  <c r="M21"/>
  <c r="U21"/>
  <c r="Q19"/>
  <c r="U19"/>
  <c r="O19"/>
  <c r="G19"/>
  <c r="M19"/>
  <c r="AG19"/>
  <c r="Q15"/>
  <c r="O15"/>
  <c r="U15"/>
  <c r="G15"/>
  <c r="AA10"/>
  <c r="Q10"/>
  <c r="O10"/>
  <c r="G10"/>
  <c r="M10"/>
  <c r="U10"/>
  <c r="Q7"/>
  <c r="O7"/>
  <c r="G7"/>
  <c r="M7"/>
  <c r="X7"/>
  <c r="AA5"/>
  <c r="Q5"/>
  <c r="O5"/>
  <c r="U5"/>
  <c r="G5"/>
  <c r="M5"/>
  <c r="X43"/>
  <c r="AE43"/>
  <c r="X54"/>
  <c r="AE54"/>
  <c r="AG65"/>
  <c r="AA72"/>
  <c r="X23"/>
  <c r="AE23"/>
  <c r="AG23"/>
  <c r="X63"/>
  <c r="AE63"/>
  <c r="AG63"/>
  <c r="X82"/>
  <c r="AG5"/>
  <c r="X5"/>
  <c r="U52"/>
  <c r="U34"/>
  <c r="AA34"/>
  <c r="AG54"/>
  <c r="AG35"/>
  <c r="AA43"/>
  <c r="M56"/>
  <c r="U56"/>
  <c r="M15"/>
  <c r="AG27"/>
  <c r="AG90"/>
  <c r="AG32"/>
  <c r="AE5"/>
  <c r="AF5"/>
  <c r="AA45"/>
  <c r="AA75"/>
  <c r="U75"/>
  <c r="AG86"/>
  <c r="X86"/>
  <c r="U58"/>
  <c r="X90"/>
  <c r="AE90"/>
  <c r="X32"/>
  <c r="AA55"/>
  <c r="AA15"/>
  <c r="X15"/>
  <c r="AE15"/>
  <c r="AG15"/>
  <c r="AF10"/>
  <c r="AA25"/>
  <c r="X25"/>
  <c r="AE25"/>
  <c r="U25"/>
  <c r="AF25"/>
  <c r="X37"/>
  <c r="AE37"/>
  <c r="AA37"/>
  <c r="U41"/>
  <c r="X41"/>
  <c r="AE41"/>
  <c r="AA41"/>
  <c r="U84"/>
  <c r="X84"/>
  <c r="U88"/>
  <c r="AA88"/>
  <c r="X19"/>
  <c r="AA19"/>
  <c r="AA29"/>
  <c r="X27"/>
  <c r="U32"/>
  <c r="AA32"/>
  <c r="AE32"/>
  <c r="AG43"/>
  <c r="U43"/>
  <c r="AF43"/>
  <c r="AA60"/>
  <c r="X60"/>
  <c r="AE60"/>
  <c r="AF60"/>
  <c r="X80"/>
  <c r="AE80"/>
  <c r="AF80"/>
  <c r="AG80"/>
  <c r="AA82"/>
  <c r="AE82"/>
  <c r="U82"/>
  <c r="AF82"/>
  <c r="AG82"/>
  <c r="AA86"/>
  <c r="AE86"/>
  <c r="U86"/>
  <c r="AF86"/>
  <c r="U38"/>
  <c r="X71"/>
  <c r="AE71"/>
  <c r="AF71"/>
  <c r="AF15"/>
  <c r="AG73"/>
  <c r="AG25"/>
  <c r="X30"/>
  <c r="AE30"/>
  <c r="AF30"/>
  <c r="AG10"/>
  <c r="AG37"/>
  <c r="AA36"/>
  <c r="AE35"/>
  <c r="Q92"/>
  <c r="AA30"/>
  <c r="AG84"/>
  <c r="AG88"/>
  <c r="AA7"/>
  <c r="AE7"/>
  <c r="AG7"/>
  <c r="M92"/>
  <c r="AG38"/>
  <c r="AA38"/>
  <c r="AE38"/>
  <c r="X69"/>
  <c r="U69"/>
  <c r="AA73"/>
  <c r="X73"/>
  <c r="X56"/>
  <c r="AE56"/>
  <c r="AF56"/>
  <c r="AG56"/>
  <c r="AA56"/>
  <c r="AG21"/>
  <c r="AA21"/>
  <c r="X21"/>
  <c r="X34"/>
  <c r="AE34"/>
  <c r="AG34"/>
  <c r="U45"/>
  <c r="AF45"/>
  <c r="X45"/>
  <c r="AE45"/>
  <c r="AG45"/>
  <c r="AG52"/>
  <c r="AA53"/>
  <c r="AE52"/>
  <c r="AF52"/>
  <c r="X58"/>
  <c r="AG58"/>
  <c r="AA58"/>
  <c r="X65"/>
  <c r="AE65"/>
  <c r="AF65"/>
  <c r="AA65"/>
  <c r="X75"/>
  <c r="AE75"/>
  <c r="AG75"/>
  <c r="AF75"/>
  <c r="AF34"/>
  <c r="U7"/>
  <c r="AG71"/>
  <c r="X10"/>
  <c r="AE10"/>
  <c r="AG41"/>
  <c r="U37"/>
  <c r="AF37"/>
  <c r="AA69"/>
  <c r="O92"/>
  <c r="U35"/>
  <c r="X88"/>
  <c r="AE88"/>
  <c r="AA84"/>
  <c r="AG30"/>
  <c r="U92"/>
  <c r="G92"/>
  <c r="U23"/>
  <c r="AF23"/>
  <c r="AF88"/>
  <c r="AF7"/>
  <c r="AE73"/>
  <c r="AF73"/>
  <c r="AE58"/>
  <c r="AF58"/>
  <c r="AE21"/>
  <c r="AF21"/>
  <c r="AE69"/>
  <c r="AF69"/>
  <c r="AG92"/>
  <c r="AA92"/>
  <c r="AE27"/>
  <c r="AF27"/>
  <c r="AF35"/>
  <c r="AF38"/>
  <c r="AF32"/>
  <c r="AE19"/>
  <c r="AF19"/>
  <c r="AE84"/>
  <c r="AF84"/>
  <c r="AF41"/>
  <c r="X92"/>
  <c r="AE92"/>
  <c r="AF92"/>
</calcChain>
</file>

<file path=xl/sharedStrings.xml><?xml version="1.0" encoding="utf-8"?>
<sst xmlns="http://schemas.openxmlformats.org/spreadsheetml/2006/main" count="384" uniqueCount="192">
  <si>
    <t>ARRIAZA CATALAN GINET</t>
  </si>
  <si>
    <t>TOTAL</t>
  </si>
  <si>
    <t>IDENTIFICACION</t>
  </si>
  <si>
    <t>C.I.</t>
  </si>
  <si>
    <t>Nº</t>
  </si>
  <si>
    <t>AFP</t>
  </si>
  <si>
    <t>%</t>
  </si>
  <si>
    <t>TOTAL A</t>
  </si>
  <si>
    <t>PAGAR</t>
  </si>
  <si>
    <t>BELLO VIDELA MARIA ANGELICA</t>
  </si>
  <si>
    <t>12.795.229-9</t>
  </si>
  <si>
    <t>CABRERA FERNANDEZ CLAUDIA</t>
  </si>
  <si>
    <t>06.887.672-9</t>
  </si>
  <si>
    <t>CARREÑO VALDENEGRO OSVALDO</t>
  </si>
  <si>
    <t>15.354.095-0</t>
  </si>
  <si>
    <t>CASTILLO QUIROZ ELIZABETH</t>
  </si>
  <si>
    <t>15.867.513-7</t>
  </si>
  <si>
    <t>CERDA HEVIA DANIELA DEL CARMEN</t>
  </si>
  <si>
    <t>CERDA MUÑOZ ONOFRE</t>
  </si>
  <si>
    <t>15.624.072-9</t>
  </si>
  <si>
    <t>GALLEGUILLOS RODRIGUEZ LORENA</t>
  </si>
  <si>
    <t>GUZMAN SORIANO FIDELA</t>
  </si>
  <si>
    <t>LOPEZ CISTERNA PURISIMA</t>
  </si>
  <si>
    <t>08.631.914-4</t>
  </si>
  <si>
    <t>MALDONADO REYES CARLOS</t>
  </si>
  <si>
    <t>15.409.550-0</t>
  </si>
  <si>
    <t>MEZA GUZMAN CLAUDIA</t>
  </si>
  <si>
    <t>15.366.857-4</t>
  </si>
  <si>
    <t>MIRANDA MATURANA LUZ MARIA</t>
  </si>
  <si>
    <t>16.728.055-2</t>
  </si>
  <si>
    <t>NUÑEZ ALCAINO MANUEL</t>
  </si>
  <si>
    <t>15.403.836-1</t>
  </si>
  <si>
    <t>NUÑEZ BRAVO LORENA</t>
  </si>
  <si>
    <t>14.575.413-5</t>
  </si>
  <si>
    <t>OLMEDO TAPIA ZENON ANDRES</t>
  </si>
  <si>
    <t>14.007.263-K</t>
  </si>
  <si>
    <t>15.866-646-4</t>
  </si>
  <si>
    <t>PALOMINOS RIVERA IRMA ROSA</t>
  </si>
  <si>
    <t>13.773.258-0</t>
  </si>
  <si>
    <t>PIÑA CABRERA MARIA LORETO</t>
  </si>
  <si>
    <t>11.980.430-2</t>
  </si>
  <si>
    <t>PONCE REYES JIMENA</t>
  </si>
  <si>
    <t>11.299.124-7</t>
  </si>
  <si>
    <t>RIQUELME ARAVENA CARMEN</t>
  </si>
  <si>
    <t>13.272.541-1</t>
  </si>
  <si>
    <t>SAAVEDRA TAPIA CHRISTIAN</t>
  </si>
  <si>
    <t>09.678.607-7</t>
  </si>
  <si>
    <t>SANDOVAL TORRES MATIAS</t>
  </si>
  <si>
    <t>SEPULVEDA ORMAZABAL ERIKA</t>
  </si>
  <si>
    <t>17.682.795-5</t>
  </si>
  <si>
    <t>SOTO CABRERA DANIELA ALEJANDRA</t>
  </si>
  <si>
    <t>MAS VIDA</t>
  </si>
  <si>
    <t>Y SIS AFP</t>
  </si>
  <si>
    <t>PLANVITAL</t>
  </si>
  <si>
    <t>FONASA</t>
  </si>
  <si>
    <t>PROVIDA</t>
  </si>
  <si>
    <t>BANMEDICA</t>
  </si>
  <si>
    <t>CAPITAL</t>
  </si>
  <si>
    <t>CONSALUD</t>
  </si>
  <si>
    <t>C.BLANCA</t>
  </si>
  <si>
    <t>HABITAT</t>
  </si>
  <si>
    <t xml:space="preserve"> </t>
  </si>
  <si>
    <t>OTROS</t>
  </si>
  <si>
    <t>SUELDO</t>
  </si>
  <si>
    <t>BASE</t>
  </si>
  <si>
    <t>ATENC.</t>
  </si>
  <si>
    <t>PRIMARIA</t>
  </si>
  <si>
    <t>VALOR</t>
  </si>
  <si>
    <t>DESEMP</t>
  </si>
  <si>
    <t>PLANI.</t>
  </si>
  <si>
    <t>LEY Nº</t>
  </si>
  <si>
    <t xml:space="preserve">ASIG. </t>
  </si>
  <si>
    <t>VARIAS</t>
  </si>
  <si>
    <t>HABERES</t>
  </si>
  <si>
    <t>GONZALEZ VIDELA CATHERINNE</t>
  </si>
  <si>
    <t>PONCE REYES GLORIA</t>
  </si>
  <si>
    <t>QUIROZ BELLO VALESKA</t>
  </si>
  <si>
    <t>GONZALEZ JORQUERA MARIA INES</t>
  </si>
  <si>
    <t>SILVA BLANCO NATALIA</t>
  </si>
  <si>
    <t>16.577.696-8</t>
  </si>
  <si>
    <t>16.700.965-4</t>
  </si>
  <si>
    <t>DELGADO DIAZ IVANNIA VICTORIA</t>
  </si>
  <si>
    <t>17.683.801-9</t>
  </si>
  <si>
    <t>07.759.396-9</t>
  </si>
  <si>
    <t>16.804.402-K</t>
  </si>
  <si>
    <t>14.246.960-K</t>
  </si>
  <si>
    <t>09.797.560-4</t>
  </si>
  <si>
    <t>16.292.072-3</t>
  </si>
  <si>
    <t>18.354.653-K</t>
  </si>
  <si>
    <t>17.903.938-9</t>
  </si>
  <si>
    <t>SOTO HORMAZABAL BARBARA</t>
  </si>
  <si>
    <t>08.430.939-7</t>
  </si>
  <si>
    <t>VELIZ VIVANCO PAMELA DEL CARMEN</t>
  </si>
  <si>
    <t>NOMBRE</t>
  </si>
  <si>
    <t>INSTITUC.</t>
  </si>
  <si>
    <t>COOPEUCH</t>
  </si>
  <si>
    <t>MUTUAL</t>
  </si>
  <si>
    <t>CHIL. CONS</t>
  </si>
  <si>
    <t>CHILENA CON</t>
  </si>
  <si>
    <t>MODELO</t>
  </si>
  <si>
    <t>ISE</t>
  </si>
  <si>
    <t>COOCRETAL</t>
  </si>
  <si>
    <t>DIFICIL</t>
  </si>
  <si>
    <t>DIF. DES.</t>
  </si>
  <si>
    <t>RUZ CALDERON JUAN</t>
  </si>
  <si>
    <t>LOYOLA GAMBOA VICTOR FERNANDO</t>
  </si>
  <si>
    <t>N°</t>
  </si>
  <si>
    <t>PAIVA HERNANDEZ HERMINIA DEL C.</t>
  </si>
  <si>
    <t xml:space="preserve">PINOCHET HUEQUEMAN ALEJANDRA </t>
  </si>
  <si>
    <t>PALAVECCINO CASTILLO MARCELA A.</t>
  </si>
  <si>
    <t>MARTINEZ CONTRERAS MARIA S.</t>
  </si>
  <si>
    <t>ACEVEDO VALENZUELA INGRID S.</t>
  </si>
  <si>
    <t>ALARCON  GUTIERREZ YESSICA F.</t>
  </si>
  <si>
    <t>PALACIOS FUENTES VIVIANA C.</t>
  </si>
  <si>
    <t>14.336.127-6</t>
  </si>
  <si>
    <t>16.727.863-9</t>
  </si>
  <si>
    <t>CARGA</t>
  </si>
  <si>
    <t>DSCTOS</t>
  </si>
  <si>
    <t>HAB.</t>
  </si>
  <si>
    <t>AP.EMPL</t>
  </si>
  <si>
    <t>SUPLE</t>
  </si>
  <si>
    <t>LUCERO RUBIO JUDYS ARACELY</t>
  </si>
  <si>
    <t>LARA PAIVA IRIS ALEJANDRA</t>
  </si>
  <si>
    <t>17.986.926-8</t>
  </si>
  <si>
    <t>COLMENA</t>
  </si>
  <si>
    <t>16.176.581-3</t>
  </si>
  <si>
    <t>CANT.</t>
  </si>
  <si>
    <t>IMPON.</t>
  </si>
  <si>
    <t>SALUD</t>
  </si>
  <si>
    <t>C0NSALUD</t>
  </si>
  <si>
    <t>UF</t>
  </si>
  <si>
    <t>DSCTO.</t>
  </si>
  <si>
    <t>I.UNICO</t>
  </si>
  <si>
    <t>AS.FUNCIO</t>
  </si>
  <si>
    <t>CHILENA CONS</t>
  </si>
  <si>
    <t>CHIL.CONSAL</t>
  </si>
  <si>
    <t>CTA. AHORRO</t>
  </si>
  <si>
    <t>CAN</t>
  </si>
  <si>
    <t>17.082.055-K</t>
  </si>
  <si>
    <t>CATALAN TORRES MARIA FERNANDA</t>
  </si>
  <si>
    <t>DIF. ISAPRE</t>
  </si>
  <si>
    <t>C</t>
  </si>
  <si>
    <t>D</t>
  </si>
  <si>
    <t>B</t>
  </si>
  <si>
    <t>E</t>
  </si>
  <si>
    <t>F</t>
  </si>
  <si>
    <t>MARTINEZ CONTRERAS VERONICA</t>
  </si>
  <si>
    <t>ECUAMED 4/6</t>
  </si>
  <si>
    <t>FALP</t>
  </si>
  <si>
    <t>ECUAMED11/12</t>
  </si>
  <si>
    <t>ARAUCANA 2/6</t>
  </si>
  <si>
    <t>ARAUCANA 1/60</t>
  </si>
  <si>
    <t>COOPEUCH 1/72</t>
  </si>
  <si>
    <t>COOPEUCH 16/24</t>
  </si>
  <si>
    <t>COOPEUCH 48/84</t>
  </si>
  <si>
    <t>COOPEUCH 14/36</t>
  </si>
  <si>
    <t>COOPEUCH 11/24</t>
  </si>
  <si>
    <t>COOPEUCH 19/72</t>
  </si>
  <si>
    <t>COOPEUCH 48/60</t>
  </si>
  <si>
    <t>ARAUCANA 18/24</t>
  </si>
  <si>
    <t>ARAUCANA 36/48</t>
  </si>
  <si>
    <t>PLANILLA A PLAZO DEPARTAMENTO DE SALUD MES DE ABRIL DE 2014</t>
  </si>
  <si>
    <t>HRS EXT. 50%</t>
  </si>
  <si>
    <t>HRS EXT. 25%</t>
  </si>
  <si>
    <t>CATEGORIA</t>
  </si>
  <si>
    <t>NIVEL</t>
  </si>
  <si>
    <t>CALIFICACION PROFESIONAL O FORMACION</t>
  </si>
  <si>
    <t>FUNCION O CARGO</t>
  </si>
  <si>
    <t>REGION</t>
  </si>
  <si>
    <t>RM</t>
  </si>
  <si>
    <t>VIEGENCIA CONTRATO</t>
  </si>
  <si>
    <t xml:space="preserve">ESTAMENTO </t>
  </si>
  <si>
    <t>UNIDAD EN QUE SE PAGA LA REMUNERACION</t>
  </si>
  <si>
    <t>Pesos</t>
  </si>
  <si>
    <t>Tecnicos de Salud</t>
  </si>
  <si>
    <t>Administrativos de Salud</t>
  </si>
  <si>
    <t xml:space="preserve">Auxiliares de Servicio </t>
  </si>
  <si>
    <t xml:space="preserve">DESDE </t>
  </si>
  <si>
    <t>HASTA</t>
  </si>
  <si>
    <t>Enseñanza media</t>
  </si>
  <si>
    <t>Administrativo</t>
  </si>
  <si>
    <t>01-026-2005</t>
  </si>
  <si>
    <t>Indefinido</t>
  </si>
  <si>
    <t>Auxiliar de Servicio</t>
  </si>
  <si>
    <t>Auxiliar de Enfermeria</t>
  </si>
  <si>
    <t>Chofer</t>
  </si>
  <si>
    <t>Auxiliar Paramedico</t>
  </si>
  <si>
    <t>Auxiliar Paramedico de Enfermeria</t>
  </si>
  <si>
    <t>Cuarto medio laboral</t>
  </si>
  <si>
    <t>Auxiliar paramedico de Radioterapia y Laboratorio</t>
  </si>
  <si>
    <t>DESEMPEÑO COLECTIVO</t>
  </si>
  <si>
    <t>REMUNERACIONES DEPARTAMENTO DE SALUD MES DE ABRIL 2015</t>
  </si>
</sst>
</file>

<file path=xl/styles.xml><?xml version="1.0" encoding="utf-8"?>
<styleSheet xmlns="http://schemas.openxmlformats.org/spreadsheetml/2006/main">
  <numFmts count="5">
    <numFmt numFmtId="170" formatCode="_-&quot;$&quot;* #,##0.00_-;\-&quot;$&quot;* #,##0.00_-;_-&quot;$&quot;* &quot;-&quot;??_-;_-@_-"/>
    <numFmt numFmtId="179" formatCode="_-&quot;$&quot;* #,##0_-;\-&quot;$&quot;* #,##0_-;_-&quot;$&quot;* &quot;-&quot;??_-;_-@_-"/>
    <numFmt numFmtId="182" formatCode="0.000"/>
    <numFmt numFmtId="185" formatCode="_-* #,##0_-;\-* #,##0_-;_-* &quot;-&quot;??_-;_-@_-"/>
    <numFmt numFmtId="195" formatCode="[$$-340A]\ #,##0"/>
  </numFmts>
  <fonts count="12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trike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6">
    <xf numFmtId="0" fontId="0" fillId="0" borderId="0" xfId="0"/>
    <xf numFmtId="0" fontId="0" fillId="0" borderId="0" xfId="0" applyBorder="1"/>
    <xf numFmtId="179" fontId="0" fillId="0" borderId="0" xfId="0" applyNumberForma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" fontId="4" fillId="0" borderId="4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4" xfId="0" applyFont="1" applyBorder="1"/>
    <xf numFmtId="1" fontId="4" fillId="0" borderId="4" xfId="0" applyNumberFormat="1" applyFont="1" applyBorder="1" applyAlignment="1">
      <alignment horizontal="center"/>
    </xf>
    <xf numFmtId="0" fontId="4" fillId="0" borderId="7" xfId="0" applyFont="1" applyBorder="1"/>
    <xf numFmtId="1" fontId="4" fillId="0" borderId="0" xfId="1" applyNumberFormat="1" applyFont="1" applyBorder="1"/>
    <xf numFmtId="0" fontId="4" fillId="0" borderId="8" xfId="0" applyFont="1" applyBorder="1"/>
    <xf numFmtId="1" fontId="4" fillId="0" borderId="6" xfId="1" applyNumberFormat="1" applyFont="1" applyBorder="1"/>
    <xf numFmtId="1" fontId="4" fillId="0" borderId="4" xfId="1" applyNumberFormat="1" applyFont="1" applyBorder="1"/>
    <xf numFmtId="1" fontId="4" fillId="0" borderId="5" xfId="1" applyNumberFormat="1" applyFont="1" applyBorder="1"/>
    <xf numFmtId="1" fontId="4" fillId="0" borderId="7" xfId="0" applyNumberFormat="1" applyFont="1" applyBorder="1" applyAlignment="1">
      <alignment horizontal="center"/>
    </xf>
    <xf numFmtId="185" fontId="4" fillId="0" borderId="9" xfId="0" applyNumberFormat="1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179" fontId="4" fillId="0" borderId="12" xfId="1" applyNumberFormat="1" applyFont="1" applyBorder="1"/>
    <xf numFmtId="0" fontId="4" fillId="0" borderId="13" xfId="0" applyFont="1" applyBorder="1"/>
    <xf numFmtId="179" fontId="4" fillId="0" borderId="14" xfId="1" applyNumberFormat="1" applyFont="1" applyBorder="1"/>
    <xf numFmtId="185" fontId="4" fillId="0" borderId="12" xfId="0" applyNumberFormat="1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/>
    <xf numFmtId="0" fontId="4" fillId="0" borderId="16" xfId="1" applyNumberFormat="1" applyFont="1" applyBorder="1"/>
    <xf numFmtId="0" fontId="4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4" fillId="0" borderId="5" xfId="0" applyNumberFormat="1" applyFont="1" applyBorder="1" applyAlignment="1">
      <alignment horizontal="right"/>
    </xf>
    <xf numFmtId="0" fontId="4" fillId="0" borderId="5" xfId="1" applyNumberFormat="1" applyFont="1" applyBorder="1"/>
    <xf numFmtId="0" fontId="4" fillId="0" borderId="0" xfId="1" applyNumberFormat="1" applyFont="1" applyBorder="1"/>
    <xf numFmtId="0" fontId="4" fillId="0" borderId="18" xfId="1" applyNumberFormat="1" applyFont="1" applyBorder="1"/>
    <xf numFmtId="0" fontId="4" fillId="0" borderId="6" xfId="1" applyNumberFormat="1" applyFont="1" applyBorder="1"/>
    <xf numFmtId="0" fontId="4" fillId="0" borderId="17" xfId="1" applyNumberFormat="1" applyFont="1" applyBorder="1"/>
    <xf numFmtId="0" fontId="0" fillId="0" borderId="0" xfId="0" applyNumberFormat="1"/>
    <xf numFmtId="1" fontId="4" fillId="0" borderId="7" xfId="1" applyNumberFormat="1" applyFont="1" applyBorder="1"/>
    <xf numFmtId="1" fontId="4" fillId="0" borderId="8" xfId="1" applyNumberFormat="1" applyFont="1" applyBorder="1"/>
    <xf numFmtId="0" fontId="4" fillId="0" borderId="3" xfId="0" applyNumberFormat="1" applyFont="1" applyBorder="1"/>
    <xf numFmtId="1" fontId="4" fillId="0" borderId="4" xfId="0" applyNumberFormat="1" applyFont="1" applyBorder="1"/>
    <xf numFmtId="1" fontId="4" fillId="0" borderId="7" xfId="0" applyNumberFormat="1" applyFont="1" applyBorder="1"/>
    <xf numFmtId="1" fontId="4" fillId="0" borderId="8" xfId="0" applyNumberFormat="1" applyFont="1" applyBorder="1"/>
    <xf numFmtId="1" fontId="4" fillId="0" borderId="19" xfId="1" applyNumberFormat="1" applyFont="1" applyBorder="1"/>
    <xf numFmtId="1" fontId="4" fillId="0" borderId="20" xfId="1" applyNumberFormat="1" applyFont="1" applyBorder="1"/>
    <xf numFmtId="1" fontId="4" fillId="0" borderId="21" xfId="1" applyNumberFormat="1" applyFont="1" applyBorder="1"/>
    <xf numFmtId="1" fontId="4" fillId="0" borderId="3" xfId="0" applyNumberFormat="1" applyFont="1" applyBorder="1"/>
    <xf numFmtId="0" fontId="4" fillId="0" borderId="2" xfId="0" applyNumberFormat="1" applyFont="1" applyBorder="1" applyAlignment="1">
      <alignment horizontal="center"/>
    </xf>
    <xf numFmtId="179" fontId="4" fillId="2" borderId="22" xfId="1" applyNumberFormat="1" applyFont="1" applyFill="1" applyBorder="1"/>
    <xf numFmtId="0" fontId="4" fillId="0" borderId="2" xfId="0" applyFont="1" applyBorder="1" applyAlignment="1">
      <alignment horizontal="right"/>
    </xf>
    <xf numFmtId="0" fontId="5" fillId="0" borderId="3" xfId="0" applyNumberFormat="1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2" borderId="8" xfId="0" applyNumberFormat="1" applyFont="1" applyFill="1" applyBorder="1"/>
    <xf numFmtId="0" fontId="4" fillId="0" borderId="0" xfId="0" applyNumberFormat="1" applyFont="1" applyBorder="1" applyAlignment="1">
      <alignment horizontal="right"/>
    </xf>
    <xf numFmtId="0" fontId="4" fillId="0" borderId="1" xfId="0" applyNumberFormat="1" applyFont="1" applyBorder="1"/>
    <xf numFmtId="0" fontId="4" fillId="0" borderId="2" xfId="0" applyNumberFormat="1" applyFont="1" applyBorder="1"/>
    <xf numFmtId="0" fontId="4" fillId="0" borderId="17" xfId="0" applyFont="1" applyBorder="1"/>
    <xf numFmtId="0" fontId="4" fillId="0" borderId="16" xfId="0" applyNumberFormat="1" applyFont="1" applyBorder="1"/>
    <xf numFmtId="0" fontId="4" fillId="0" borderId="17" xfId="0" applyNumberFormat="1" applyFont="1" applyBorder="1"/>
    <xf numFmtId="0" fontId="4" fillId="0" borderId="23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2" xfId="0" applyBorder="1"/>
    <xf numFmtId="1" fontId="4" fillId="2" borderId="4" xfId="0" applyNumberFormat="1" applyFont="1" applyFill="1" applyBorder="1" applyAlignment="1">
      <alignment horizontal="right"/>
    </xf>
    <xf numFmtId="1" fontId="4" fillId="2" borderId="7" xfId="0" applyNumberFormat="1" applyFont="1" applyFill="1" applyBorder="1"/>
    <xf numFmtId="1" fontId="4" fillId="2" borderId="4" xfId="0" applyNumberFormat="1" applyFont="1" applyFill="1" applyBorder="1"/>
    <xf numFmtId="10" fontId="4" fillId="0" borderId="4" xfId="0" applyNumberFormat="1" applyFont="1" applyBorder="1"/>
    <xf numFmtId="10" fontId="4" fillId="0" borderId="7" xfId="0" applyNumberFormat="1" applyFont="1" applyBorder="1"/>
    <xf numFmtId="10" fontId="4" fillId="0" borderId="8" xfId="0" applyNumberFormat="1" applyFont="1" applyBorder="1"/>
    <xf numFmtId="10" fontId="4" fillId="2" borderId="7" xfId="0" applyNumberFormat="1" applyFont="1" applyFill="1" applyBorder="1"/>
    <xf numFmtId="10" fontId="4" fillId="2" borderId="4" xfId="0" applyNumberFormat="1" applyFont="1" applyFill="1" applyBorder="1"/>
    <xf numFmtId="10" fontId="4" fillId="2" borderId="8" xfId="0" applyNumberFormat="1" applyFont="1" applyFill="1" applyBorder="1"/>
    <xf numFmtId="10" fontId="4" fillId="0" borderId="16" xfId="0" applyNumberFormat="1" applyFont="1" applyBorder="1"/>
    <xf numFmtId="10" fontId="4" fillId="0" borderId="2" xfId="0" applyNumberFormat="1" applyFont="1" applyBorder="1" applyAlignment="1">
      <alignment horizontal="center"/>
    </xf>
    <xf numFmtId="0" fontId="4" fillId="0" borderId="0" xfId="0" applyNumberFormat="1" applyFont="1" applyBorder="1"/>
    <xf numFmtId="0" fontId="4" fillId="0" borderId="6" xfId="0" applyNumberFormat="1" applyFont="1" applyBorder="1"/>
    <xf numFmtId="0" fontId="4" fillId="2" borderId="0" xfId="0" applyNumberFormat="1" applyFont="1" applyFill="1" applyBorder="1"/>
    <xf numFmtId="0" fontId="4" fillId="2" borderId="6" xfId="0" applyNumberFormat="1" applyFont="1" applyFill="1" applyBorder="1"/>
    <xf numFmtId="0" fontId="0" fillId="0" borderId="0" xfId="0" applyNumberFormat="1" applyBorder="1"/>
    <xf numFmtId="1" fontId="4" fillId="0" borderId="0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1" fontId="4" fillId="0" borderId="6" xfId="0" applyNumberFormat="1" applyFont="1" applyBorder="1" applyAlignment="1">
      <alignment horizontal="left"/>
    </xf>
    <xf numFmtId="1" fontId="4" fillId="0" borderId="6" xfId="0" applyNumberFormat="1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/>
    <xf numFmtId="0" fontId="4" fillId="0" borderId="19" xfId="0" applyFont="1" applyBorder="1"/>
    <xf numFmtId="0" fontId="4" fillId="0" borderId="0" xfId="0" applyFont="1" applyBorder="1"/>
    <xf numFmtId="9" fontId="4" fillId="0" borderId="0" xfId="0" applyNumberFormat="1" applyFont="1" applyBorder="1"/>
    <xf numFmtId="1" fontId="4" fillId="0" borderId="8" xfId="0" applyNumberFormat="1" applyFont="1" applyBorder="1" applyAlignment="1">
      <alignment horizontal="left"/>
    </xf>
    <xf numFmtId="1" fontId="4" fillId="0" borderId="8" xfId="0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" fontId="4" fillId="0" borderId="7" xfId="0" applyNumberFormat="1" applyFont="1" applyBorder="1" applyAlignment="1">
      <alignment horizontal="right"/>
    </xf>
    <xf numFmtId="10" fontId="4" fillId="0" borderId="17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9" fontId="4" fillId="0" borderId="26" xfId="0" applyNumberFormat="1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/>
    <xf numFmtId="1" fontId="4" fillId="2" borderId="0" xfId="0" applyNumberFormat="1" applyFont="1" applyFill="1" applyBorder="1"/>
    <xf numFmtId="9" fontId="4" fillId="0" borderId="5" xfId="0" applyNumberFormat="1" applyFont="1" applyBorder="1"/>
    <xf numFmtId="1" fontId="4" fillId="0" borderId="20" xfId="0" applyNumberFormat="1" applyFont="1" applyBorder="1" applyAlignment="1">
      <alignment horizontal="right"/>
    </xf>
    <xf numFmtId="1" fontId="4" fillId="2" borderId="7" xfId="0" applyNumberFormat="1" applyFont="1" applyFill="1" applyBorder="1" applyAlignment="1">
      <alignment horizontal="right"/>
    </xf>
    <xf numFmtId="1" fontId="4" fillId="2" borderId="8" xfId="0" applyNumberFormat="1" applyFont="1" applyFill="1" applyBorder="1" applyAlignment="1">
      <alignment horizontal="right"/>
    </xf>
    <xf numFmtId="10" fontId="4" fillId="0" borderId="23" xfId="0" applyNumberFormat="1" applyFont="1" applyBorder="1" applyAlignment="1">
      <alignment horizontal="center"/>
    </xf>
    <xf numFmtId="10" fontId="4" fillId="0" borderId="22" xfId="0" applyNumberFormat="1" applyFont="1" applyBorder="1" applyAlignment="1">
      <alignment horizontal="center"/>
    </xf>
    <xf numFmtId="9" fontId="4" fillId="0" borderId="22" xfId="0" applyNumberFormat="1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26" xfId="0" applyFont="1" applyBorder="1"/>
    <xf numFmtId="0" fontId="4" fillId="0" borderId="15" xfId="0" applyNumberFormat="1" applyFont="1" applyBorder="1"/>
    <xf numFmtId="0" fontId="4" fillId="0" borderId="7" xfId="0" applyNumberFormat="1" applyFont="1" applyBorder="1" applyAlignment="1">
      <alignment horizontal="right"/>
    </xf>
    <xf numFmtId="0" fontId="4" fillId="0" borderId="0" xfId="1" applyNumberFormat="1" applyFont="1" applyBorder="1" applyAlignment="1">
      <alignment horizontal="right"/>
    </xf>
    <xf numFmtId="0" fontId="4" fillId="0" borderId="0" xfId="1" applyNumberFormat="1" applyFont="1" applyBorder="1" applyAlignment="1"/>
    <xf numFmtId="1" fontId="4" fillId="0" borderId="0" xfId="0" applyNumberFormat="1" applyFont="1" applyBorder="1" applyAlignment="1"/>
    <xf numFmtId="1" fontId="4" fillId="0" borderId="7" xfId="0" applyNumberFormat="1" applyFont="1" applyBorder="1" applyAlignment="1"/>
    <xf numFmtId="1" fontId="4" fillId="0" borderId="8" xfId="1" applyNumberFormat="1" applyFont="1" applyBorder="1" applyAlignment="1">
      <alignment horizontal="right"/>
    </xf>
    <xf numFmtId="1" fontId="4" fillId="0" borderId="6" xfId="1" applyNumberFormat="1" applyFont="1" applyBorder="1" applyAlignment="1">
      <alignment horizontal="right"/>
    </xf>
    <xf numFmtId="1" fontId="4" fillId="0" borderId="0" xfId="1" applyNumberFormat="1" applyFont="1" applyBorder="1" applyAlignment="1">
      <alignment horizontal="right"/>
    </xf>
    <xf numFmtId="0" fontId="4" fillId="0" borderId="8" xfId="1" applyNumberFormat="1" applyFont="1" applyBorder="1" applyAlignment="1">
      <alignment horizontal="right"/>
    </xf>
    <xf numFmtId="0" fontId="4" fillId="0" borderId="4" xfId="1" applyNumberFormat="1" applyFont="1" applyBorder="1" applyAlignment="1">
      <alignment horizontal="right"/>
    </xf>
    <xf numFmtId="0" fontId="4" fillId="0" borderId="7" xfId="1" applyNumberFormat="1" applyFont="1" applyBorder="1" applyAlignment="1">
      <alignment horizontal="right"/>
    </xf>
    <xf numFmtId="0" fontId="4" fillId="0" borderId="4" xfId="1" applyNumberFormat="1" applyFont="1" applyBorder="1" applyAlignment="1"/>
    <xf numFmtId="0" fontId="4" fillId="0" borderId="5" xfId="0" applyNumberFormat="1" applyFont="1" applyBorder="1" applyAlignment="1"/>
    <xf numFmtId="0" fontId="4" fillId="0" borderId="28" xfId="1" applyNumberFormat="1" applyFont="1" applyBorder="1" applyAlignment="1"/>
    <xf numFmtId="1" fontId="4" fillId="0" borderId="5" xfId="0" applyNumberFormat="1" applyFont="1" applyBorder="1" applyAlignment="1"/>
    <xf numFmtId="0" fontId="4" fillId="0" borderId="8" xfId="1" applyNumberFormat="1" applyFont="1" applyBorder="1" applyAlignment="1"/>
    <xf numFmtId="0" fontId="4" fillId="0" borderId="6" xfId="1" applyNumberFormat="1" applyFont="1" applyBorder="1" applyAlignment="1"/>
    <xf numFmtId="0" fontId="4" fillId="0" borderId="29" xfId="1" applyNumberFormat="1" applyFont="1" applyBorder="1" applyAlignment="1"/>
    <xf numFmtId="1" fontId="4" fillId="0" borderId="6" xfId="1" applyNumberFormat="1" applyFont="1" applyBorder="1" applyAlignment="1"/>
    <xf numFmtId="1" fontId="4" fillId="0" borderId="28" xfId="1" applyNumberFormat="1" applyFont="1" applyBorder="1" applyAlignment="1"/>
    <xf numFmtId="1" fontId="4" fillId="0" borderId="5" xfId="1" applyNumberFormat="1" applyFont="1" applyBorder="1" applyAlignment="1"/>
    <xf numFmtId="1" fontId="4" fillId="0" borderId="4" xfId="1" applyNumberFormat="1" applyFont="1" applyBorder="1" applyAlignment="1"/>
    <xf numFmtId="0" fontId="4" fillId="0" borderId="7" xfId="1" applyNumberFormat="1" applyFont="1" applyBorder="1" applyAlignment="1"/>
    <xf numFmtId="1" fontId="4" fillId="0" borderId="18" xfId="1" applyNumberFormat="1" applyFont="1" applyBorder="1" applyAlignment="1"/>
    <xf numFmtId="1" fontId="4" fillId="0" borderId="0" xfId="1" applyNumberFormat="1" applyFont="1" applyBorder="1" applyAlignment="1"/>
    <xf numFmtId="1" fontId="4" fillId="0" borderId="7" xfId="1" applyNumberFormat="1" applyFont="1" applyBorder="1" applyAlignment="1"/>
    <xf numFmtId="1" fontId="4" fillId="0" borderId="8" xfId="0" applyNumberFormat="1" applyFont="1" applyBorder="1" applyAlignment="1"/>
    <xf numFmtId="1" fontId="4" fillId="0" borderId="29" xfId="1" applyNumberFormat="1" applyFont="1" applyBorder="1" applyAlignment="1"/>
    <xf numFmtId="1" fontId="4" fillId="0" borderId="8" xfId="1" applyNumberFormat="1" applyFont="1" applyBorder="1" applyAlignment="1"/>
    <xf numFmtId="0" fontId="4" fillId="0" borderId="18" xfId="1" applyNumberFormat="1" applyFont="1" applyBorder="1" applyAlignment="1"/>
    <xf numFmtId="1" fontId="4" fillId="0" borderId="2" xfId="0" applyNumberFormat="1" applyFont="1" applyBorder="1" applyAlignment="1"/>
    <xf numFmtId="1" fontId="4" fillId="0" borderId="25" xfId="0" applyNumberFormat="1" applyFont="1" applyBorder="1" applyAlignment="1"/>
    <xf numFmtId="1" fontId="4" fillId="0" borderId="20" xfId="1" applyNumberFormat="1" applyFont="1" applyBorder="1" applyAlignment="1"/>
    <xf numFmtId="1" fontId="4" fillId="0" borderId="21" xfId="1" applyNumberFormat="1" applyFont="1" applyBorder="1" applyAlignment="1"/>
    <xf numFmtId="1" fontId="4" fillId="0" borderId="19" xfId="1" applyNumberFormat="1" applyFont="1" applyBorder="1" applyAlignment="1"/>
    <xf numFmtId="179" fontId="4" fillId="0" borderId="16" xfId="1" applyNumberFormat="1" applyFont="1" applyBorder="1" applyAlignment="1"/>
    <xf numFmtId="179" fontId="4" fillId="0" borderId="17" xfId="1" applyNumberFormat="1" applyFont="1" applyBorder="1" applyAlignment="1"/>
    <xf numFmtId="179" fontId="4" fillId="0" borderId="24" xfId="1" applyNumberFormat="1" applyFont="1" applyBorder="1" applyAlignment="1"/>
    <xf numFmtId="179" fontId="4" fillId="0" borderId="22" xfId="1" applyNumberFormat="1" applyFont="1" applyBorder="1" applyAlignment="1"/>
    <xf numFmtId="179" fontId="4" fillId="0" borderId="15" xfId="1" applyNumberFormat="1" applyFont="1" applyBorder="1" applyAlignment="1"/>
    <xf numFmtId="0" fontId="4" fillId="0" borderId="30" xfId="1" applyNumberFormat="1" applyFont="1" applyBorder="1" applyAlignment="1"/>
    <xf numFmtId="0" fontId="4" fillId="0" borderId="16" xfId="1" applyNumberFormat="1" applyFont="1" applyBorder="1" applyAlignment="1"/>
    <xf numFmtId="1" fontId="4" fillId="0" borderId="7" xfId="1" applyNumberFormat="1" applyFont="1" applyBorder="1" applyAlignment="1">
      <alignment horizontal="right"/>
    </xf>
    <xf numFmtId="0" fontId="4" fillId="0" borderId="8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right"/>
    </xf>
    <xf numFmtId="0" fontId="4" fillId="0" borderId="6" xfId="1" applyNumberFormat="1" applyFont="1" applyBorder="1" applyAlignment="1">
      <alignment horizontal="right"/>
    </xf>
    <xf numFmtId="0" fontId="4" fillId="0" borderId="20" xfId="1" applyNumberFormat="1" applyFont="1" applyBorder="1" applyAlignment="1">
      <alignment horizontal="right"/>
    </xf>
    <xf numFmtId="0" fontId="4" fillId="0" borderId="18" xfId="1" applyNumberFormat="1" applyFont="1" applyBorder="1" applyAlignment="1">
      <alignment horizontal="right"/>
    </xf>
    <xf numFmtId="0" fontId="4" fillId="0" borderId="21" xfId="1" applyNumberFormat="1" applyFont="1" applyBorder="1" applyAlignment="1">
      <alignment horizontal="right"/>
    </xf>
    <xf numFmtId="0" fontId="4" fillId="0" borderId="29" xfId="1" applyNumberFormat="1" applyFont="1" applyBorder="1" applyAlignment="1">
      <alignment horizontal="right"/>
    </xf>
    <xf numFmtId="179" fontId="4" fillId="0" borderId="8" xfId="1" applyNumberFormat="1" applyFont="1" applyBorder="1" applyAlignment="1">
      <alignment horizontal="right"/>
    </xf>
    <xf numFmtId="179" fontId="4" fillId="0" borderId="29" xfId="1" applyNumberFormat="1" applyFont="1" applyBorder="1" applyAlignment="1">
      <alignment horizontal="right"/>
    </xf>
    <xf numFmtId="0" fontId="4" fillId="0" borderId="19" xfId="1" applyNumberFormat="1" applyFont="1" applyBorder="1" applyAlignment="1">
      <alignment horizontal="right"/>
    </xf>
    <xf numFmtId="0" fontId="4" fillId="0" borderId="28" xfId="1" applyNumberFormat="1" applyFont="1" applyBorder="1" applyAlignment="1">
      <alignment horizontal="right"/>
    </xf>
    <xf numFmtId="0" fontId="4" fillId="0" borderId="5" xfId="1" applyNumberFormat="1" applyFont="1" applyBorder="1" applyAlignment="1">
      <alignment horizontal="right"/>
    </xf>
    <xf numFmtId="1" fontId="4" fillId="0" borderId="4" xfId="1" applyNumberFormat="1" applyFont="1" applyBorder="1" applyAlignment="1">
      <alignment horizontal="right"/>
    </xf>
    <xf numFmtId="1" fontId="4" fillId="0" borderId="5" xfId="1" applyNumberFormat="1" applyFont="1" applyBorder="1" applyAlignment="1">
      <alignment horizontal="right"/>
    </xf>
    <xf numFmtId="0" fontId="4" fillId="0" borderId="4" xfId="0" applyNumberFormat="1" applyFont="1" applyBorder="1" applyAlignment="1">
      <alignment horizontal="right"/>
    </xf>
    <xf numFmtId="1" fontId="4" fillId="0" borderId="28" xfId="1" applyNumberFormat="1" applyFont="1" applyBorder="1" applyAlignment="1">
      <alignment horizontal="right"/>
    </xf>
    <xf numFmtId="1" fontId="4" fillId="0" borderId="18" xfId="1" applyNumberFormat="1" applyFont="1" applyBorder="1" applyAlignment="1">
      <alignment horizontal="right"/>
    </xf>
    <xf numFmtId="1" fontId="4" fillId="0" borderId="29" xfId="1" applyNumberFormat="1" applyFont="1" applyBorder="1" applyAlignment="1">
      <alignment horizontal="right"/>
    </xf>
    <xf numFmtId="179" fontId="4" fillId="0" borderId="7" xfId="1" applyNumberFormat="1" applyFont="1" applyBorder="1" applyAlignment="1">
      <alignment horizontal="right"/>
    </xf>
    <xf numFmtId="1" fontId="4" fillId="0" borderId="28" xfId="0" applyNumberFormat="1" applyFont="1" applyBorder="1" applyAlignment="1">
      <alignment horizontal="right"/>
    </xf>
    <xf numFmtId="10" fontId="4" fillId="0" borderId="6" xfId="0" applyNumberFormat="1" applyFont="1" applyBorder="1" applyAlignment="1">
      <alignment horizontal="right"/>
    </xf>
    <xf numFmtId="10" fontId="4" fillId="0" borderId="7" xfId="0" applyNumberFormat="1" applyFont="1" applyBorder="1" applyAlignment="1">
      <alignment horizontal="right"/>
    </xf>
    <xf numFmtId="10" fontId="4" fillId="0" borderId="8" xfId="0" applyNumberFormat="1" applyFont="1" applyBorder="1" applyAlignment="1">
      <alignment horizontal="right"/>
    </xf>
    <xf numFmtId="10" fontId="4" fillId="0" borderId="4" xfId="0" applyNumberFormat="1" applyFont="1" applyBorder="1" applyAlignment="1">
      <alignment horizontal="right"/>
    </xf>
    <xf numFmtId="10" fontId="4" fillId="2" borderId="7" xfId="0" applyNumberFormat="1" applyFont="1" applyFill="1" applyBorder="1" applyAlignment="1">
      <alignment horizontal="right"/>
    </xf>
    <xf numFmtId="10" fontId="4" fillId="2" borderId="4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right"/>
    </xf>
    <xf numFmtId="1" fontId="4" fillId="0" borderId="21" xfId="0" applyNumberFormat="1" applyFont="1" applyBorder="1" applyAlignment="1">
      <alignment horizontal="right"/>
    </xf>
    <xf numFmtId="9" fontId="4" fillId="0" borderId="20" xfId="0" applyNumberFormat="1" applyFont="1" applyBorder="1" applyAlignment="1">
      <alignment horizontal="right"/>
    </xf>
    <xf numFmtId="1" fontId="4" fillId="2" borderId="8" xfId="1" applyNumberFormat="1" applyFont="1" applyFill="1" applyBorder="1" applyAlignment="1">
      <alignment horizontal="right"/>
    </xf>
    <xf numFmtId="9" fontId="4" fillId="0" borderId="19" xfId="0" applyNumberFormat="1" applyFont="1" applyBorder="1" applyAlignment="1">
      <alignment horizontal="right"/>
    </xf>
    <xf numFmtId="1" fontId="4" fillId="2" borderId="7" xfId="1" applyNumberFormat="1" applyFont="1" applyFill="1" applyBorder="1" applyAlignment="1">
      <alignment horizontal="right"/>
    </xf>
    <xf numFmtId="1" fontId="4" fillId="0" borderId="20" xfId="0" applyNumberFormat="1" applyFont="1" applyFill="1" applyBorder="1" applyAlignment="1">
      <alignment horizontal="right"/>
    </xf>
    <xf numFmtId="1" fontId="4" fillId="2" borderId="4" xfId="1" applyNumberFormat="1" applyFont="1" applyFill="1" applyBorder="1" applyAlignment="1">
      <alignment horizontal="right"/>
    </xf>
    <xf numFmtId="1" fontId="4" fillId="0" borderId="21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9" fontId="4" fillId="0" borderId="5" xfId="0" applyNumberFormat="1" applyFont="1" applyBorder="1" applyAlignment="1">
      <alignment horizontal="right"/>
    </xf>
    <xf numFmtId="9" fontId="4" fillId="0" borderId="7" xfId="0" applyNumberFormat="1" applyFont="1" applyBorder="1" applyAlignment="1">
      <alignment horizontal="right"/>
    </xf>
    <xf numFmtId="9" fontId="4" fillId="0" borderId="4" xfId="0" applyNumberFormat="1" applyFont="1" applyBorder="1" applyAlignment="1">
      <alignment horizontal="right"/>
    </xf>
    <xf numFmtId="9" fontId="4" fillId="0" borderId="0" xfId="0" applyNumberFormat="1" applyFont="1" applyBorder="1" applyAlignment="1">
      <alignment horizontal="right"/>
    </xf>
    <xf numFmtId="1" fontId="4" fillId="0" borderId="20" xfId="0" applyNumberFormat="1" applyFont="1" applyBorder="1" applyAlignment="1"/>
    <xf numFmtId="1" fontId="4" fillId="0" borderId="29" xfId="0" applyNumberFormat="1" applyFont="1" applyBorder="1" applyAlignment="1"/>
    <xf numFmtId="1" fontId="4" fillId="0" borderId="6" xfId="0" applyNumberFormat="1" applyFont="1" applyBorder="1" applyAlignment="1"/>
    <xf numFmtId="1" fontId="4" fillId="0" borderId="21" xfId="0" applyNumberFormat="1" applyFont="1" applyBorder="1" applyAlignment="1"/>
    <xf numFmtId="185" fontId="4" fillId="0" borderId="12" xfId="0" applyNumberFormat="1" applyFont="1" applyBorder="1" applyAlignment="1"/>
    <xf numFmtId="179" fontId="4" fillId="0" borderId="14" xfId="1" applyNumberFormat="1" applyFont="1" applyBorder="1" applyAlignment="1"/>
    <xf numFmtId="185" fontId="4" fillId="0" borderId="9" xfId="0" applyNumberFormat="1" applyFont="1" applyBorder="1" applyAlignment="1"/>
    <xf numFmtId="179" fontId="4" fillId="0" borderId="12" xfId="1" applyNumberFormat="1" applyFont="1" applyBorder="1" applyAlignment="1"/>
    <xf numFmtId="182" fontId="4" fillId="0" borderId="5" xfId="0" applyNumberFormat="1" applyFont="1" applyBorder="1" applyAlignment="1">
      <alignment horizontal="right"/>
    </xf>
    <xf numFmtId="182" fontId="4" fillId="0" borderId="0" xfId="0" applyNumberFormat="1" applyFont="1" applyFill="1" applyBorder="1" applyAlignment="1">
      <alignment horizontal="right"/>
    </xf>
    <xf numFmtId="182" fontId="4" fillId="0" borderId="19" xfId="0" applyNumberFormat="1" applyFont="1" applyBorder="1" applyAlignment="1">
      <alignment horizontal="right"/>
    </xf>
    <xf numFmtId="9" fontId="4" fillId="0" borderId="0" xfId="0" applyNumberFormat="1" applyFont="1" applyFill="1" applyBorder="1" applyAlignment="1">
      <alignment horizontal="right"/>
    </xf>
    <xf numFmtId="1" fontId="4" fillId="3" borderId="4" xfId="0" applyNumberFormat="1" applyFont="1" applyFill="1" applyBorder="1"/>
    <xf numFmtId="1" fontId="4" fillId="3" borderId="8" xfId="0" applyNumberFormat="1" applyFont="1" applyFill="1" applyBorder="1"/>
    <xf numFmtId="182" fontId="4" fillId="3" borderId="7" xfId="0" applyNumberFormat="1" applyFont="1" applyFill="1" applyBorder="1"/>
    <xf numFmtId="1" fontId="4" fillId="3" borderId="7" xfId="0" applyNumberFormat="1" applyFont="1" applyFill="1" applyBorder="1"/>
    <xf numFmtId="9" fontId="4" fillId="0" borderId="21" xfId="0" applyNumberFormat="1" applyFont="1" applyBorder="1" applyAlignment="1">
      <alignment horizontal="right"/>
    </xf>
    <xf numFmtId="9" fontId="4" fillId="0" borderId="20" xfId="2" applyNumberFormat="1" applyFont="1" applyBorder="1" applyAlignment="1">
      <alignment horizontal="right"/>
    </xf>
    <xf numFmtId="0" fontId="4" fillId="0" borderId="19" xfId="0" applyNumberFormat="1" applyFont="1" applyBorder="1" applyAlignment="1">
      <alignment horizontal="right"/>
    </xf>
    <xf numFmtId="9" fontId="4" fillId="0" borderId="6" xfId="0" applyNumberFormat="1" applyFont="1" applyBorder="1" applyAlignment="1">
      <alignment horizontal="right"/>
    </xf>
    <xf numFmtId="9" fontId="4" fillId="0" borderId="6" xfId="0" applyNumberFormat="1" applyFont="1" applyBorder="1"/>
    <xf numFmtId="0" fontId="7" fillId="0" borderId="2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9" fontId="4" fillId="0" borderId="20" xfId="0" applyNumberFormat="1" applyFont="1" applyFill="1" applyBorder="1" applyAlignment="1">
      <alignment horizontal="right"/>
    </xf>
    <xf numFmtId="0" fontId="4" fillId="0" borderId="28" xfId="1" applyNumberFormat="1" applyFont="1" applyBorder="1"/>
    <xf numFmtId="0" fontId="4" fillId="0" borderId="29" xfId="1" applyNumberFormat="1" applyFont="1" applyBorder="1"/>
    <xf numFmtId="1" fontId="8" fillId="0" borderId="7" xfId="1" applyNumberFormat="1" applyFont="1" applyBorder="1" applyAlignment="1"/>
    <xf numFmtId="1" fontId="4" fillId="0" borderId="2" xfId="1" applyNumberFormat="1" applyFont="1" applyBorder="1" applyAlignment="1"/>
    <xf numFmtId="0" fontId="4" fillId="0" borderId="0" xfId="1" applyNumberFormat="1" applyFont="1" applyFill="1" applyBorder="1" applyAlignment="1"/>
    <xf numFmtId="1" fontId="4" fillId="0" borderId="4" xfId="0" applyNumberFormat="1" applyFont="1" applyBorder="1" applyAlignment="1"/>
    <xf numFmtId="0" fontId="4" fillId="0" borderId="0" xfId="0" applyNumberFormat="1" applyFont="1" applyBorder="1" applyAlignment="1"/>
    <xf numFmtId="1" fontId="4" fillId="0" borderId="19" xfId="0" applyNumberFormat="1" applyFont="1" applyBorder="1" applyAlignment="1"/>
    <xf numFmtId="1" fontId="4" fillId="2" borderId="20" xfId="1" applyNumberFormat="1" applyFont="1" applyFill="1" applyBorder="1"/>
    <xf numFmtId="1" fontId="4" fillId="2" borderId="20" xfId="0" applyNumberFormat="1" applyFont="1" applyFill="1" applyBorder="1" applyAlignment="1">
      <alignment horizontal="right"/>
    </xf>
    <xf numFmtId="1" fontId="4" fillId="2" borderId="19" xfId="0" applyNumberFormat="1" applyFont="1" applyFill="1" applyBorder="1" applyAlignment="1">
      <alignment horizontal="right"/>
    </xf>
    <xf numFmtId="1" fontId="4" fillId="2" borderId="21" xfId="1" applyNumberFormat="1" applyFont="1" applyFill="1" applyBorder="1"/>
    <xf numFmtId="1" fontId="4" fillId="2" borderId="21" xfId="0" applyNumberFormat="1" applyFont="1" applyFill="1" applyBorder="1" applyAlignment="1">
      <alignment horizontal="right"/>
    </xf>
    <xf numFmtId="1" fontId="4" fillId="2" borderId="19" xfId="1" applyNumberFormat="1" applyFont="1" applyFill="1" applyBorder="1"/>
    <xf numFmtId="0" fontId="4" fillId="0" borderId="30" xfId="1" applyNumberFormat="1" applyFont="1" applyBorder="1"/>
    <xf numFmtId="179" fontId="4" fillId="0" borderId="15" xfId="1" applyNumberFormat="1" applyFont="1" applyBorder="1"/>
    <xf numFmtId="1" fontId="4" fillId="0" borderId="18" xfId="0" applyNumberFormat="1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4" xfId="1" applyNumberFormat="1" applyFont="1" applyBorder="1"/>
    <xf numFmtId="9" fontId="4" fillId="0" borderId="4" xfId="0" applyNumberFormat="1" applyFont="1" applyBorder="1"/>
    <xf numFmtId="1" fontId="4" fillId="0" borderId="28" xfId="1" applyNumberFormat="1" applyFont="1" applyBorder="1"/>
    <xf numFmtId="0" fontId="4" fillId="0" borderId="19" xfId="0" applyFont="1" applyBorder="1" applyAlignment="1">
      <alignment horizontal="right"/>
    </xf>
    <xf numFmtId="1" fontId="4" fillId="3" borderId="4" xfId="1" applyNumberFormat="1" applyFont="1" applyFill="1" applyBorder="1" applyAlignment="1"/>
    <xf numFmtId="1" fontId="4" fillId="3" borderId="7" xfId="1" applyNumberFormat="1" applyFont="1" applyFill="1" applyBorder="1" applyAlignment="1"/>
    <xf numFmtId="0" fontId="4" fillId="0" borderId="20" xfId="0" applyFont="1" applyBorder="1" applyAlignment="1">
      <alignment horizontal="right"/>
    </xf>
    <xf numFmtId="0" fontId="4" fillId="0" borderId="20" xfId="0" applyNumberFormat="1" applyFont="1" applyBorder="1" applyAlignment="1">
      <alignment horizontal="right"/>
    </xf>
    <xf numFmtId="1" fontId="4" fillId="0" borderId="20" xfId="1" applyNumberFormat="1" applyFont="1" applyBorder="1" applyAlignment="1">
      <alignment horizontal="right"/>
    </xf>
    <xf numFmtId="10" fontId="4" fillId="0" borderId="20" xfId="0" applyNumberFormat="1" applyFont="1" applyBorder="1" applyAlignment="1">
      <alignment horizontal="right"/>
    </xf>
    <xf numFmtId="1" fontId="4" fillId="0" borderId="20" xfId="0" applyNumberFormat="1" applyFont="1" applyBorder="1"/>
    <xf numFmtId="0" fontId="4" fillId="2" borderId="8" xfId="0" applyFont="1" applyFill="1" applyBorder="1" applyAlignment="1">
      <alignment horizontal="right"/>
    </xf>
    <xf numFmtId="0" fontId="4" fillId="0" borderId="6" xfId="0" applyFont="1" applyBorder="1"/>
    <xf numFmtId="1" fontId="4" fillId="0" borderId="6" xfId="0" applyNumberFormat="1" applyFont="1" applyBorder="1"/>
    <xf numFmtId="1" fontId="4" fillId="2" borderId="6" xfId="0" applyNumberFormat="1" applyFont="1" applyFill="1" applyBorder="1" applyAlignment="1">
      <alignment horizontal="right"/>
    </xf>
    <xf numFmtId="0" fontId="4" fillId="0" borderId="5" xfId="0" applyFont="1" applyBorder="1"/>
    <xf numFmtId="1" fontId="4" fillId="0" borderId="21" xfId="1" applyNumberFormat="1" applyFont="1" applyBorder="1" applyAlignment="1">
      <alignment horizontal="right"/>
    </xf>
    <xf numFmtId="1" fontId="4" fillId="0" borderId="21" xfId="0" applyNumberFormat="1" applyFont="1" applyBorder="1"/>
    <xf numFmtId="10" fontId="4" fillId="0" borderId="21" xfId="0" applyNumberFormat="1" applyFont="1" applyBorder="1" applyAlignment="1">
      <alignment horizontal="right"/>
    </xf>
    <xf numFmtId="1" fontId="4" fillId="0" borderId="5" xfId="0" applyNumberFormat="1" applyFont="1" applyBorder="1"/>
    <xf numFmtId="10" fontId="4" fillId="0" borderId="5" xfId="0" applyNumberFormat="1" applyFont="1" applyBorder="1" applyAlignment="1">
      <alignment horizontal="right"/>
    </xf>
    <xf numFmtId="1" fontId="4" fillId="2" borderId="5" xfId="0" applyNumberFormat="1" applyFont="1" applyFill="1" applyBorder="1" applyAlignment="1">
      <alignment horizontal="right"/>
    </xf>
    <xf numFmtId="9" fontId="4" fillId="0" borderId="8" xfId="0" applyNumberFormat="1" applyFont="1" applyBorder="1" applyAlignment="1">
      <alignment horizontal="right"/>
    </xf>
    <xf numFmtId="1" fontId="4" fillId="0" borderId="18" xfId="0" applyNumberFormat="1" applyFont="1" applyBorder="1"/>
    <xf numFmtId="0" fontId="4" fillId="0" borderId="21" xfId="1" applyNumberFormat="1" applyFont="1" applyBorder="1" applyAlignment="1"/>
    <xf numFmtId="1" fontId="4" fillId="0" borderId="21" xfId="0" applyNumberFormat="1" applyFont="1" applyBorder="1" applyAlignment="1">
      <alignment horizontal="center"/>
    </xf>
    <xf numFmtId="0" fontId="4" fillId="0" borderId="21" xfId="1" applyNumberFormat="1" applyFont="1" applyBorder="1"/>
    <xf numFmtId="1" fontId="4" fillId="2" borderId="21" xfId="0" applyNumberFormat="1" applyFont="1" applyFill="1" applyBorder="1"/>
    <xf numFmtId="10" fontId="4" fillId="2" borderId="21" xfId="0" applyNumberFormat="1" applyFont="1" applyFill="1" applyBorder="1"/>
    <xf numFmtId="9" fontId="4" fillId="0" borderId="21" xfId="0" applyNumberFormat="1" applyFont="1" applyBorder="1"/>
    <xf numFmtId="0" fontId="4" fillId="0" borderId="5" xfId="1" applyNumberFormat="1" applyFont="1" applyBorder="1" applyAlignment="1"/>
    <xf numFmtId="0" fontId="4" fillId="0" borderId="19" xfId="1" applyNumberFormat="1" applyFont="1" applyBorder="1" applyAlignment="1"/>
    <xf numFmtId="182" fontId="4" fillId="0" borderId="5" xfId="0" applyNumberFormat="1" applyFont="1" applyFill="1" applyBorder="1"/>
    <xf numFmtId="1" fontId="4" fillId="3" borderId="5" xfId="1" applyNumberFormat="1" applyFont="1" applyFill="1" applyBorder="1"/>
    <xf numFmtId="1" fontId="4" fillId="0" borderId="6" xfId="0" applyNumberFormat="1" applyFont="1" applyFill="1" applyBorder="1"/>
    <xf numFmtId="0" fontId="4" fillId="0" borderId="21" xfId="0" applyFont="1" applyBorder="1" applyAlignment="1">
      <alignment horizontal="right"/>
    </xf>
    <xf numFmtId="0" fontId="4" fillId="0" borderId="21" xfId="0" applyNumberFormat="1" applyFont="1" applyBorder="1" applyAlignment="1"/>
    <xf numFmtId="10" fontId="4" fillId="0" borderId="21" xfId="0" applyNumberFormat="1" applyFont="1" applyBorder="1"/>
    <xf numFmtId="182" fontId="4" fillId="0" borderId="4" xfId="0" applyNumberFormat="1" applyFont="1" applyBorder="1" applyAlignment="1">
      <alignment horizontal="right"/>
    </xf>
    <xf numFmtId="1" fontId="4" fillId="3" borderId="5" xfId="0" applyNumberFormat="1" applyFont="1" applyFill="1" applyBorder="1"/>
    <xf numFmtId="1" fontId="4" fillId="2" borderId="5" xfId="1" applyNumberFormat="1" applyFont="1" applyFill="1" applyBorder="1" applyAlignment="1">
      <alignment horizontal="right"/>
    </xf>
    <xf numFmtId="1" fontId="4" fillId="3" borderId="6" xfId="0" applyNumberFormat="1" applyFont="1" applyFill="1" applyBorder="1"/>
    <xf numFmtId="1" fontId="4" fillId="2" borderId="6" xfId="1" applyNumberFormat="1" applyFont="1" applyFill="1" applyBorder="1" applyAlignment="1">
      <alignment horizontal="right"/>
    </xf>
    <xf numFmtId="182" fontId="4" fillId="0" borderId="8" xfId="0" applyNumberFormat="1" applyFont="1" applyBorder="1" applyAlignment="1">
      <alignment horizontal="right"/>
    </xf>
    <xf numFmtId="1" fontId="6" fillId="0" borderId="5" xfId="0" applyNumberFormat="1" applyFont="1" applyBorder="1" applyAlignment="1"/>
    <xf numFmtId="1" fontId="6" fillId="0" borderId="6" xfId="0" applyNumberFormat="1" applyFont="1" applyBorder="1" applyAlignment="1"/>
    <xf numFmtId="1" fontId="4" fillId="3" borderId="5" xfId="1" applyNumberFormat="1" applyFont="1" applyFill="1" applyBorder="1" applyAlignment="1"/>
    <xf numFmtId="1" fontId="4" fillId="0" borderId="3" xfId="1" applyNumberFormat="1" applyFont="1" applyBorder="1" applyAlignment="1"/>
    <xf numFmtId="1" fontId="4" fillId="0" borderId="3" xfId="1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0" fontId="4" fillId="0" borderId="31" xfId="0" applyFont="1" applyBorder="1"/>
    <xf numFmtId="185" fontId="4" fillId="0" borderId="14" xfId="0" applyNumberFormat="1" applyFont="1" applyBorder="1" applyAlignment="1">
      <alignment horizontal="center"/>
    </xf>
    <xf numFmtId="185" fontId="4" fillId="0" borderId="32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right"/>
    </xf>
    <xf numFmtId="0" fontId="4" fillId="0" borderId="17" xfId="1" applyNumberFormat="1" applyFont="1" applyBorder="1" applyAlignment="1"/>
    <xf numFmtId="0" fontId="4" fillId="0" borderId="24" xfId="1" applyNumberFormat="1" applyFont="1" applyBorder="1" applyAlignment="1"/>
    <xf numFmtId="1" fontId="4" fillId="0" borderId="16" xfId="1" applyNumberFormat="1" applyFont="1" applyBorder="1"/>
    <xf numFmtId="1" fontId="4" fillId="2" borderId="16" xfId="0" applyNumberFormat="1" applyFont="1" applyFill="1" applyBorder="1"/>
    <xf numFmtId="10" fontId="4" fillId="2" borderId="16" xfId="0" applyNumberFormat="1" applyFont="1" applyFill="1" applyBorder="1"/>
    <xf numFmtId="0" fontId="4" fillId="2" borderId="17" xfId="0" applyNumberFormat="1" applyFont="1" applyFill="1" applyBorder="1"/>
    <xf numFmtId="9" fontId="4" fillId="0" borderId="17" xfId="0" applyNumberFormat="1" applyFont="1" applyFill="1" applyBorder="1"/>
    <xf numFmtId="1" fontId="4" fillId="2" borderId="24" xfId="0" applyNumberFormat="1" applyFont="1" applyFill="1" applyBorder="1" applyAlignment="1">
      <alignment horizontal="right"/>
    </xf>
    <xf numFmtId="1" fontId="4" fillId="0" borderId="17" xfId="1" applyNumberFormat="1" applyFont="1" applyBorder="1"/>
    <xf numFmtId="179" fontId="4" fillId="0" borderId="33" xfId="1" applyNumberFormat="1" applyFont="1" applyBorder="1"/>
    <xf numFmtId="0" fontId="4" fillId="0" borderId="34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3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4" fillId="0" borderId="2" xfId="1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left"/>
    </xf>
    <xf numFmtId="10" fontId="4" fillId="0" borderId="2" xfId="0" applyNumberFormat="1" applyFont="1" applyBorder="1" applyAlignment="1">
      <alignment horizontal="right"/>
    </xf>
    <xf numFmtId="1" fontId="4" fillId="3" borderId="2" xfId="0" applyNumberFormat="1" applyFont="1" applyFill="1" applyBorder="1" applyAlignment="1">
      <alignment horizontal="left"/>
    </xf>
    <xf numFmtId="182" fontId="4" fillId="0" borderId="25" xfId="0" applyNumberFormat="1" applyFont="1" applyBorder="1" applyAlignment="1">
      <alignment horizontal="right"/>
    </xf>
    <xf numFmtId="1" fontId="4" fillId="2" borderId="3" xfId="0" applyNumberFormat="1" applyFont="1" applyFill="1" applyBorder="1" applyAlignment="1">
      <alignment horizontal="right"/>
    </xf>
    <xf numFmtId="1" fontId="4" fillId="3" borderId="3" xfId="0" applyNumberFormat="1" applyFont="1" applyFill="1" applyBorder="1" applyAlignment="1"/>
    <xf numFmtId="1" fontId="4" fillId="0" borderId="35" xfId="0" applyNumberFormat="1" applyFont="1" applyBorder="1" applyAlignment="1"/>
    <xf numFmtId="185" fontId="4" fillId="0" borderId="36" xfId="0" applyNumberFormat="1" applyFont="1" applyBorder="1" applyAlignment="1"/>
    <xf numFmtId="0" fontId="4" fillId="0" borderId="37" xfId="0" applyFont="1" applyBorder="1" applyAlignment="1">
      <alignment horizontal="right"/>
    </xf>
    <xf numFmtId="185" fontId="4" fillId="0" borderId="14" xfId="0" applyNumberFormat="1" applyFont="1" applyBorder="1" applyAlignment="1"/>
    <xf numFmtId="0" fontId="4" fillId="0" borderId="37" xfId="0" applyFont="1" applyBorder="1"/>
    <xf numFmtId="185" fontId="4" fillId="0" borderId="38" xfId="0" applyNumberFormat="1" applyFont="1" applyBorder="1" applyAlignment="1"/>
    <xf numFmtId="185" fontId="4" fillId="0" borderId="32" xfId="0" applyNumberFormat="1" applyFont="1" applyBorder="1" applyAlignment="1"/>
    <xf numFmtId="185" fontId="4" fillId="0" borderId="39" xfId="0" applyNumberFormat="1" applyFont="1" applyBorder="1" applyAlignment="1"/>
    <xf numFmtId="0" fontId="4" fillId="0" borderId="24" xfId="0" applyFont="1" applyBorder="1"/>
    <xf numFmtId="0" fontId="4" fillId="0" borderId="16" xfId="1" applyNumberFormat="1" applyFont="1" applyBorder="1" applyAlignment="1">
      <alignment horizontal="right"/>
    </xf>
    <xf numFmtId="0" fontId="4" fillId="0" borderId="30" xfId="1" applyNumberFormat="1" applyFont="1" applyBorder="1" applyAlignment="1">
      <alignment horizontal="right"/>
    </xf>
    <xf numFmtId="0" fontId="4" fillId="0" borderId="24" xfId="1" applyNumberFormat="1" applyFont="1" applyBorder="1" applyAlignment="1">
      <alignment horizontal="right"/>
    </xf>
    <xf numFmtId="1" fontId="4" fillId="0" borderId="16" xfId="0" applyNumberFormat="1" applyFont="1" applyBorder="1" applyAlignment="1">
      <alignment horizontal="right"/>
    </xf>
    <xf numFmtId="1" fontId="4" fillId="0" borderId="30" xfId="1" applyNumberFormat="1" applyFont="1" applyBorder="1" applyAlignment="1">
      <alignment horizontal="right"/>
    </xf>
    <xf numFmtId="1" fontId="4" fillId="0" borderId="17" xfId="1" applyNumberFormat="1" applyFont="1" applyBorder="1" applyAlignment="1">
      <alignment horizontal="right"/>
    </xf>
    <xf numFmtId="1" fontId="4" fillId="0" borderId="16" xfId="1" applyNumberFormat="1" applyFont="1" applyBorder="1" applyAlignment="1">
      <alignment horizontal="right"/>
    </xf>
    <xf numFmtId="179" fontId="4" fillId="0" borderId="16" xfId="1" applyNumberFormat="1" applyFont="1" applyBorder="1" applyAlignment="1">
      <alignment horizontal="right"/>
    </xf>
    <xf numFmtId="0" fontId="4" fillId="0" borderId="17" xfId="1" applyNumberFormat="1" applyFont="1" applyBorder="1" applyAlignment="1">
      <alignment horizontal="right"/>
    </xf>
    <xf numFmtId="10" fontId="4" fillId="2" borderId="16" xfId="0" applyNumberFormat="1" applyFont="1" applyFill="1" applyBorder="1" applyAlignment="1">
      <alignment horizontal="right"/>
    </xf>
    <xf numFmtId="0" fontId="4" fillId="2" borderId="17" xfId="0" applyNumberFormat="1" applyFont="1" applyFill="1" applyBorder="1" applyAlignment="1">
      <alignment horizontal="right"/>
    </xf>
    <xf numFmtId="9" fontId="4" fillId="0" borderId="17" xfId="0" applyNumberFormat="1" applyFont="1" applyBorder="1" applyAlignment="1">
      <alignment horizontal="right"/>
    </xf>
    <xf numFmtId="1" fontId="4" fillId="2" borderId="16" xfId="0" applyNumberFormat="1" applyFont="1" applyFill="1" applyBorder="1" applyAlignment="1">
      <alignment horizontal="right"/>
    </xf>
    <xf numFmtId="1" fontId="4" fillId="0" borderId="16" xfId="1" applyNumberFormat="1" applyFont="1" applyBorder="1" applyAlignment="1"/>
    <xf numFmtId="1" fontId="4" fillId="0" borderId="30" xfId="1" applyNumberFormat="1" applyFont="1" applyBorder="1" applyAlignment="1"/>
    <xf numFmtId="1" fontId="4" fillId="0" borderId="17" xfId="1" applyNumberFormat="1" applyFont="1" applyBorder="1" applyAlignment="1"/>
    <xf numFmtId="179" fontId="4" fillId="0" borderId="33" xfId="1" applyNumberFormat="1" applyFont="1" applyBorder="1" applyAlignment="1"/>
    <xf numFmtId="185" fontId="4" fillId="0" borderId="28" xfId="0" applyNumberFormat="1" applyFont="1" applyBorder="1" applyAlignment="1"/>
    <xf numFmtId="185" fontId="4" fillId="0" borderId="29" xfId="0" applyNumberFormat="1" applyFont="1" applyBorder="1" applyAlignment="1"/>
    <xf numFmtId="2" fontId="4" fillId="2" borderId="4" xfId="0" applyNumberFormat="1" applyFont="1" applyFill="1" applyBorder="1" applyAlignment="1">
      <alignment horizontal="right"/>
    </xf>
    <xf numFmtId="9" fontId="4" fillId="2" borderId="8" xfId="0" applyNumberFormat="1" applyFont="1" applyFill="1" applyBorder="1" applyAlignment="1">
      <alignment horizontal="right"/>
    </xf>
    <xf numFmtId="1" fontId="4" fillId="0" borderId="2" xfId="0" applyNumberFormat="1" applyFont="1" applyBorder="1" applyAlignment="1">
      <alignment horizontal="left"/>
    </xf>
    <xf numFmtId="0" fontId="4" fillId="0" borderId="8" xfId="1" applyNumberFormat="1" applyFont="1" applyBorder="1"/>
    <xf numFmtId="0" fontId="4" fillId="0" borderId="35" xfId="0" applyNumberFormat="1" applyFont="1" applyBorder="1" applyAlignment="1">
      <alignment horizontal="right"/>
    </xf>
    <xf numFmtId="0" fontId="4" fillId="0" borderId="29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0" fillId="0" borderId="17" xfId="0" applyBorder="1"/>
    <xf numFmtId="3" fontId="9" fillId="0" borderId="40" xfId="0" applyNumberFormat="1" applyFont="1" applyFill="1" applyBorder="1"/>
    <xf numFmtId="3" fontId="10" fillId="0" borderId="40" xfId="0" applyNumberFormat="1" applyFont="1" applyFill="1" applyBorder="1"/>
    <xf numFmtId="3" fontId="11" fillId="0" borderId="40" xfId="0" applyNumberFormat="1" applyFont="1" applyFill="1" applyBorder="1" applyAlignment="1">
      <alignment horizontal="center"/>
    </xf>
    <xf numFmtId="3" fontId="11" fillId="0" borderId="40" xfId="0" applyNumberFormat="1" applyFont="1" applyFill="1" applyBorder="1" applyAlignment="1">
      <alignment horizontal="right"/>
    </xf>
    <xf numFmtId="3" fontId="11" fillId="0" borderId="40" xfId="0" applyNumberFormat="1" applyFont="1" applyFill="1" applyBorder="1"/>
    <xf numFmtId="3" fontId="11" fillId="0" borderId="40" xfId="1" applyNumberFormat="1" applyFont="1" applyFill="1" applyBorder="1" applyAlignment="1"/>
    <xf numFmtId="3" fontId="9" fillId="0" borderId="40" xfId="0" applyNumberFormat="1" applyFont="1" applyFill="1" applyBorder="1" applyAlignment="1">
      <alignment horizontal="center"/>
    </xf>
    <xf numFmtId="3" fontId="11" fillId="0" borderId="40" xfId="0" applyNumberFormat="1" applyFont="1" applyFill="1" applyBorder="1" applyAlignment="1">
      <alignment horizontal="center" wrapText="1"/>
    </xf>
    <xf numFmtId="14" fontId="10" fillId="0" borderId="40" xfId="0" applyNumberFormat="1" applyFont="1" applyFill="1" applyBorder="1"/>
    <xf numFmtId="14" fontId="9" fillId="0" borderId="40" xfId="0" applyNumberFormat="1" applyFont="1" applyFill="1" applyBorder="1"/>
    <xf numFmtId="14" fontId="11" fillId="0" borderId="40" xfId="0" applyNumberFormat="1" applyFont="1" applyFill="1" applyBorder="1" applyAlignment="1">
      <alignment horizontal="center"/>
    </xf>
    <xf numFmtId="14" fontId="11" fillId="0" borderId="40" xfId="0" applyNumberFormat="1" applyFont="1" applyFill="1" applyBorder="1"/>
    <xf numFmtId="3" fontId="11" fillId="0" borderId="40" xfId="0" applyNumberFormat="1" applyFont="1" applyFill="1" applyBorder="1" applyAlignment="1">
      <alignment wrapText="1"/>
    </xf>
    <xf numFmtId="195" fontId="9" fillId="0" borderId="40" xfId="0" applyNumberFormat="1" applyFont="1" applyFill="1" applyBorder="1"/>
    <xf numFmtId="195" fontId="11" fillId="0" borderId="40" xfId="1" applyNumberFormat="1" applyFont="1" applyFill="1" applyBorder="1" applyAlignment="1">
      <alignment horizontal="right"/>
    </xf>
    <xf numFmtId="195" fontId="11" fillId="0" borderId="40" xfId="0" applyNumberFormat="1" applyFont="1" applyFill="1" applyBorder="1" applyAlignment="1">
      <alignment horizontal="right"/>
    </xf>
    <xf numFmtId="195" fontId="11" fillId="0" borderId="40" xfId="1" applyNumberFormat="1" applyFont="1" applyFill="1" applyBorder="1" applyAlignment="1"/>
    <xf numFmtId="195" fontId="11" fillId="0" borderId="40" xfId="1" applyNumberFormat="1" applyFont="1" applyFill="1" applyBorder="1"/>
    <xf numFmtId="195" fontId="10" fillId="0" borderId="40" xfId="0" applyNumberFormat="1" applyFont="1" applyFill="1" applyBorder="1"/>
    <xf numFmtId="0" fontId="9" fillId="0" borderId="40" xfId="0" applyNumberFormat="1" applyFont="1" applyFill="1" applyBorder="1"/>
    <xf numFmtId="0" fontId="11" fillId="0" borderId="40" xfId="0" applyNumberFormat="1" applyFont="1" applyFill="1" applyBorder="1" applyAlignment="1">
      <alignment horizontal="right"/>
    </xf>
    <xf numFmtId="0" fontId="11" fillId="0" borderId="40" xfId="1" applyNumberFormat="1" applyFont="1" applyFill="1" applyBorder="1" applyAlignment="1"/>
    <xf numFmtId="0" fontId="10" fillId="0" borderId="40" xfId="0" applyNumberFormat="1" applyFont="1" applyFill="1" applyBorder="1"/>
    <xf numFmtId="3" fontId="9" fillId="0" borderId="40" xfId="0" applyNumberFormat="1" applyFont="1" applyFill="1" applyBorder="1" applyAlignment="1">
      <alignment horizontal="center" wrapText="1"/>
    </xf>
    <xf numFmtId="3" fontId="9" fillId="0" borderId="40" xfId="0" applyNumberFormat="1" applyFont="1" applyFill="1" applyBorder="1" applyAlignment="1">
      <alignment horizontal="center"/>
    </xf>
    <xf numFmtId="14" fontId="11" fillId="0" borderId="41" xfId="0" applyNumberFormat="1" applyFont="1" applyFill="1" applyBorder="1" applyAlignment="1">
      <alignment horizontal="center" wrapText="1"/>
    </xf>
    <xf numFmtId="14" fontId="11" fillId="0" borderId="42" xfId="0" applyNumberFormat="1" applyFont="1" applyFill="1" applyBorder="1" applyAlignment="1">
      <alignment horizontal="center" wrapText="1"/>
    </xf>
    <xf numFmtId="3" fontId="10" fillId="0" borderId="41" xfId="0" applyNumberFormat="1" applyFont="1" applyFill="1" applyBorder="1" applyAlignment="1">
      <alignment horizontal="center"/>
    </xf>
    <xf numFmtId="3" fontId="10" fillId="0" borderId="43" xfId="0" applyNumberFormat="1" applyFont="1" applyFill="1" applyBorder="1" applyAlignment="1">
      <alignment horizontal="center"/>
    </xf>
    <xf numFmtId="3" fontId="10" fillId="0" borderId="42" xfId="0" applyNumberFormat="1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ual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6"/>
  <sheetViews>
    <sheetView tabSelected="1" workbookViewId="0">
      <pane xSplit="5" ySplit="7" topLeftCell="F8" activePane="bottomRight" state="frozen"/>
      <selection pane="topRight" activeCell="F1" sqref="F1"/>
      <selection pane="bottomLeft" activeCell="A5" sqref="A5"/>
      <selection pane="bottomRight" activeCell="E6" sqref="E6"/>
    </sheetView>
  </sheetViews>
  <sheetFormatPr baseColWidth="10" defaultRowHeight="12.75"/>
  <cols>
    <col min="1" max="1" width="5.5703125" style="356" customWidth="1"/>
    <col min="2" max="2" width="35.7109375" style="356" customWidth="1"/>
    <col min="3" max="3" width="25.7109375" style="356" customWidth="1"/>
    <col min="4" max="4" width="12" style="356" customWidth="1"/>
    <col min="5" max="5" width="7.5703125" style="356" customWidth="1"/>
    <col min="6" max="6" width="35.42578125" style="356" customWidth="1"/>
    <col min="7" max="7" width="35" style="356" customWidth="1"/>
    <col min="8" max="8" width="11.140625" style="356" customWidth="1"/>
    <col min="9" max="10" width="11.140625" style="365" customWidth="1"/>
    <col min="11" max="11" width="16.140625" style="356" customWidth="1"/>
    <col min="12" max="12" width="13.42578125" style="369" customWidth="1"/>
    <col min="13" max="13" width="5.5703125" style="375" customWidth="1"/>
    <col min="14" max="14" width="13.42578125" style="369" customWidth="1"/>
    <col min="15" max="15" width="5.7109375" style="375" customWidth="1"/>
    <col min="16" max="18" width="13.42578125" style="369" customWidth="1"/>
    <col min="19" max="16384" width="11.42578125" style="356"/>
  </cols>
  <sheetData>
    <row r="2" spans="1:18" ht="15.75">
      <c r="B2" s="383" t="s">
        <v>191</v>
      </c>
      <c r="C2" s="384"/>
      <c r="D2" s="384"/>
      <c r="E2" s="384"/>
      <c r="F2" s="385"/>
      <c r="G2" s="357"/>
      <c r="H2" s="357"/>
      <c r="I2" s="364"/>
      <c r="J2" s="364"/>
      <c r="K2" s="357"/>
    </row>
    <row r="4" spans="1:18" ht="15.75">
      <c r="B4" s="357"/>
      <c r="C4" s="357"/>
      <c r="D4" s="357"/>
      <c r="E4" s="357"/>
      <c r="F4" s="357"/>
      <c r="G4" s="357"/>
      <c r="H4" s="357"/>
      <c r="I4" s="364"/>
      <c r="J4" s="364"/>
      <c r="K4" s="357"/>
    </row>
    <row r="5" spans="1:18">
      <c r="L5" s="356"/>
      <c r="M5" s="379" t="s">
        <v>163</v>
      </c>
      <c r="N5" s="379"/>
      <c r="O5" s="380" t="s">
        <v>162</v>
      </c>
      <c r="P5" s="380"/>
      <c r="Q5" s="362"/>
      <c r="R5" s="356"/>
    </row>
    <row r="6" spans="1:18" ht="38.25">
      <c r="A6" s="358" t="s">
        <v>4</v>
      </c>
      <c r="B6" s="358" t="s">
        <v>2</v>
      </c>
      <c r="C6" s="358" t="s">
        <v>171</v>
      </c>
      <c r="D6" s="358" t="s">
        <v>164</v>
      </c>
      <c r="E6" s="358" t="s">
        <v>165</v>
      </c>
      <c r="F6" s="363" t="s">
        <v>166</v>
      </c>
      <c r="G6" s="363" t="s">
        <v>167</v>
      </c>
      <c r="H6" s="363" t="s">
        <v>168</v>
      </c>
      <c r="I6" s="381" t="s">
        <v>170</v>
      </c>
      <c r="J6" s="382"/>
      <c r="K6" s="363" t="s">
        <v>172</v>
      </c>
      <c r="L6" s="358" t="s">
        <v>1</v>
      </c>
      <c r="M6" s="358" t="s">
        <v>106</v>
      </c>
      <c r="N6" s="358" t="s">
        <v>67</v>
      </c>
      <c r="O6" s="358" t="s">
        <v>106</v>
      </c>
      <c r="P6" s="358" t="s">
        <v>67</v>
      </c>
      <c r="Q6" s="363" t="s">
        <v>190</v>
      </c>
      <c r="R6" s="358" t="s">
        <v>1</v>
      </c>
    </row>
    <row r="7" spans="1:18">
      <c r="A7" s="358"/>
      <c r="B7" s="358"/>
      <c r="C7" s="358"/>
      <c r="D7" s="358"/>
      <c r="E7" s="358"/>
      <c r="F7" s="358"/>
      <c r="G7" s="358"/>
      <c r="H7" s="358"/>
      <c r="I7" s="366" t="s">
        <v>177</v>
      </c>
      <c r="J7" s="366" t="s">
        <v>178</v>
      </c>
      <c r="K7" s="358"/>
      <c r="L7" s="358" t="s">
        <v>127</v>
      </c>
      <c r="M7" s="358"/>
      <c r="N7" s="358">
        <v>0.25</v>
      </c>
      <c r="O7" s="358"/>
      <c r="P7" s="358">
        <v>0.5</v>
      </c>
      <c r="Q7" s="358"/>
      <c r="R7" s="358" t="s">
        <v>73</v>
      </c>
    </row>
    <row r="8" spans="1:18">
      <c r="A8" s="360">
        <v>4</v>
      </c>
      <c r="B8" s="360" t="s">
        <v>0</v>
      </c>
      <c r="C8" s="360" t="s">
        <v>174</v>
      </c>
      <c r="D8" s="360" t="s">
        <v>142</v>
      </c>
      <c r="E8" s="360">
        <v>3</v>
      </c>
      <c r="F8" s="360" t="s">
        <v>184</v>
      </c>
      <c r="G8" s="360" t="s">
        <v>184</v>
      </c>
      <c r="H8" s="358" t="s">
        <v>169</v>
      </c>
      <c r="I8" s="366">
        <v>34759</v>
      </c>
      <c r="J8" s="366" t="s">
        <v>182</v>
      </c>
      <c r="K8" s="358" t="s">
        <v>173</v>
      </c>
      <c r="L8" s="370">
        <v>1077886</v>
      </c>
      <c r="M8" s="376"/>
      <c r="N8" s="371"/>
      <c r="O8" s="376"/>
      <c r="P8" s="371"/>
      <c r="Q8" s="371">
        <v>444729</v>
      </c>
      <c r="R8" s="370">
        <f t="shared" ref="R8:R17" si="0">L8+N8+P8+Q8</f>
        <v>1522615</v>
      </c>
    </row>
    <row r="9" spans="1:18">
      <c r="A9" s="359">
        <v>5</v>
      </c>
      <c r="B9" s="360" t="s">
        <v>9</v>
      </c>
      <c r="C9" s="360" t="s">
        <v>174</v>
      </c>
      <c r="D9" s="360" t="s">
        <v>142</v>
      </c>
      <c r="E9" s="360">
        <v>6</v>
      </c>
      <c r="F9" s="360" t="s">
        <v>184</v>
      </c>
      <c r="G9" s="360" t="s">
        <v>184</v>
      </c>
      <c r="H9" s="358" t="s">
        <v>169</v>
      </c>
      <c r="I9" s="366">
        <v>34182</v>
      </c>
      <c r="J9" s="366" t="s">
        <v>182</v>
      </c>
      <c r="K9" s="358" t="s">
        <v>173</v>
      </c>
      <c r="L9" s="370">
        <v>941133</v>
      </c>
      <c r="M9" s="376">
        <v>3</v>
      </c>
      <c r="N9" s="371">
        <v>17073</v>
      </c>
      <c r="O9" s="376">
        <v>21</v>
      </c>
      <c r="P9" s="371">
        <v>143411</v>
      </c>
      <c r="Q9" s="371">
        <v>389539</v>
      </c>
      <c r="R9" s="370">
        <f t="shared" si="0"/>
        <v>1491156</v>
      </c>
    </row>
    <row r="10" spans="1:18">
      <c r="A10" s="360">
        <v>11</v>
      </c>
      <c r="B10" s="360" t="s">
        <v>18</v>
      </c>
      <c r="C10" s="360" t="s">
        <v>176</v>
      </c>
      <c r="D10" s="360" t="s">
        <v>145</v>
      </c>
      <c r="E10" s="360">
        <v>13</v>
      </c>
      <c r="F10" s="360" t="s">
        <v>179</v>
      </c>
      <c r="G10" s="360" t="s">
        <v>185</v>
      </c>
      <c r="H10" s="358" t="s">
        <v>169</v>
      </c>
      <c r="I10" s="366" t="s">
        <v>181</v>
      </c>
      <c r="J10" s="366" t="s">
        <v>182</v>
      </c>
      <c r="K10" s="358" t="s">
        <v>173</v>
      </c>
      <c r="L10" s="370">
        <v>701787</v>
      </c>
      <c r="M10" s="376">
        <v>2</v>
      </c>
      <c r="N10" s="371">
        <v>6102</v>
      </c>
      <c r="O10" s="376"/>
      <c r="P10" s="371"/>
      <c r="Q10" s="371">
        <v>213760</v>
      </c>
      <c r="R10" s="370">
        <f t="shared" si="0"/>
        <v>921649</v>
      </c>
    </row>
    <row r="11" spans="1:18">
      <c r="A11" s="360">
        <v>16</v>
      </c>
      <c r="B11" s="360" t="s">
        <v>21</v>
      </c>
      <c r="C11" s="360" t="s">
        <v>175</v>
      </c>
      <c r="D11" s="360" t="s">
        <v>144</v>
      </c>
      <c r="E11" s="360">
        <v>6</v>
      </c>
      <c r="F11" s="360" t="s">
        <v>179</v>
      </c>
      <c r="G11" s="360" t="s">
        <v>180</v>
      </c>
      <c r="H11" s="358" t="s">
        <v>169</v>
      </c>
      <c r="I11" s="366">
        <v>33324</v>
      </c>
      <c r="J11" s="366" t="s">
        <v>182</v>
      </c>
      <c r="K11" s="358" t="s">
        <v>173</v>
      </c>
      <c r="L11" s="370">
        <v>876070</v>
      </c>
      <c r="M11" s="376">
        <v>10</v>
      </c>
      <c r="N11" s="371">
        <v>52899</v>
      </c>
      <c r="O11" s="376"/>
      <c r="P11" s="371"/>
      <c r="Q11" s="371">
        <v>362142</v>
      </c>
      <c r="R11" s="370">
        <f t="shared" si="0"/>
        <v>1291111</v>
      </c>
    </row>
    <row r="12" spans="1:18">
      <c r="A12" s="359">
        <v>18</v>
      </c>
      <c r="B12" s="360" t="s">
        <v>22</v>
      </c>
      <c r="C12" s="360" t="s">
        <v>175</v>
      </c>
      <c r="D12" s="360" t="s">
        <v>144</v>
      </c>
      <c r="E12" s="360">
        <v>4</v>
      </c>
      <c r="F12" s="360" t="s">
        <v>187</v>
      </c>
      <c r="G12" s="360" t="s">
        <v>186</v>
      </c>
      <c r="H12" s="358" t="s">
        <v>169</v>
      </c>
      <c r="I12" s="366">
        <v>32980</v>
      </c>
      <c r="J12" s="366" t="s">
        <v>182</v>
      </c>
      <c r="K12" s="358" t="s">
        <v>173</v>
      </c>
      <c r="L12" s="370">
        <v>1042266</v>
      </c>
      <c r="M12" s="376">
        <v>20</v>
      </c>
      <c r="N12" s="371">
        <v>116273</v>
      </c>
      <c r="O12" s="376"/>
      <c r="P12" s="371"/>
      <c r="Q12" s="371">
        <v>396348</v>
      </c>
      <c r="R12" s="370">
        <f t="shared" si="0"/>
        <v>1554887</v>
      </c>
    </row>
    <row r="13" spans="1:18">
      <c r="A13" s="360">
        <v>23</v>
      </c>
      <c r="B13" s="360" t="s">
        <v>26</v>
      </c>
      <c r="C13" s="360" t="s">
        <v>176</v>
      </c>
      <c r="D13" s="360" t="s">
        <v>145</v>
      </c>
      <c r="E13" s="360">
        <v>11</v>
      </c>
      <c r="F13" s="360" t="s">
        <v>179</v>
      </c>
      <c r="G13" s="360" t="s">
        <v>185</v>
      </c>
      <c r="H13" s="358" t="s">
        <v>169</v>
      </c>
      <c r="I13" s="366">
        <v>37135</v>
      </c>
      <c r="J13" s="366" t="s">
        <v>182</v>
      </c>
      <c r="K13" s="358" t="s">
        <v>173</v>
      </c>
      <c r="L13" s="370">
        <v>784957</v>
      </c>
      <c r="M13" s="376">
        <v>3</v>
      </c>
      <c r="N13" s="371">
        <v>14054</v>
      </c>
      <c r="O13" s="376">
        <v>13</v>
      </c>
      <c r="P13" s="371">
        <v>54811</v>
      </c>
      <c r="Q13" s="371">
        <v>243922</v>
      </c>
      <c r="R13" s="370">
        <f t="shared" si="0"/>
        <v>1097744</v>
      </c>
    </row>
    <row r="14" spans="1:18">
      <c r="A14" s="360">
        <v>27</v>
      </c>
      <c r="B14" s="360" t="s">
        <v>107</v>
      </c>
      <c r="C14" s="360" t="s">
        <v>174</v>
      </c>
      <c r="D14" s="360" t="s">
        <v>142</v>
      </c>
      <c r="E14" s="360">
        <v>5</v>
      </c>
      <c r="F14" s="360" t="s">
        <v>184</v>
      </c>
      <c r="G14" s="360" t="s">
        <v>184</v>
      </c>
      <c r="H14" s="358" t="s">
        <v>169</v>
      </c>
      <c r="I14" s="366">
        <v>33798</v>
      </c>
      <c r="J14" s="366" t="s">
        <v>182</v>
      </c>
      <c r="K14" s="358" t="s">
        <v>173</v>
      </c>
      <c r="L14" s="370">
        <v>986720</v>
      </c>
      <c r="M14" s="376"/>
      <c r="N14" s="371"/>
      <c r="O14" s="376"/>
      <c r="P14" s="371"/>
      <c r="Q14" s="371">
        <v>407935</v>
      </c>
      <c r="R14" s="370">
        <f t="shared" si="0"/>
        <v>1394655</v>
      </c>
    </row>
    <row r="15" spans="1:18">
      <c r="A15" s="359">
        <v>30</v>
      </c>
      <c r="B15" s="360" t="s">
        <v>37</v>
      </c>
      <c r="C15" s="360" t="s">
        <v>176</v>
      </c>
      <c r="D15" s="360" t="s">
        <v>145</v>
      </c>
      <c r="E15" s="360">
        <v>6</v>
      </c>
      <c r="F15" s="360"/>
      <c r="G15" s="360" t="s">
        <v>183</v>
      </c>
      <c r="H15" s="358" t="s">
        <v>169</v>
      </c>
      <c r="I15" s="366">
        <v>34100</v>
      </c>
      <c r="J15" s="366" t="s">
        <v>182</v>
      </c>
      <c r="K15" s="358" t="s">
        <v>173</v>
      </c>
      <c r="L15" s="370">
        <v>775306</v>
      </c>
      <c r="M15" s="376">
        <v>4</v>
      </c>
      <c r="N15" s="371">
        <v>18677</v>
      </c>
      <c r="O15" s="376"/>
      <c r="P15" s="371"/>
      <c r="Q15" s="371">
        <v>319329</v>
      </c>
      <c r="R15" s="370">
        <f t="shared" si="0"/>
        <v>1113312</v>
      </c>
    </row>
    <row r="16" spans="1:18">
      <c r="A16" s="359">
        <v>38</v>
      </c>
      <c r="B16" s="360" t="s">
        <v>104</v>
      </c>
      <c r="C16" s="360" t="s">
        <v>176</v>
      </c>
      <c r="D16" s="360" t="s">
        <v>145</v>
      </c>
      <c r="E16" s="360">
        <v>13</v>
      </c>
      <c r="F16" s="360" t="s">
        <v>188</v>
      </c>
      <c r="G16" s="360" t="s">
        <v>185</v>
      </c>
      <c r="H16" s="358" t="s">
        <v>169</v>
      </c>
      <c r="I16" s="366">
        <v>38504</v>
      </c>
      <c r="J16" s="366" t="s">
        <v>182</v>
      </c>
      <c r="K16" s="358" t="s">
        <v>173</v>
      </c>
      <c r="L16" s="370">
        <v>701787</v>
      </c>
      <c r="M16" s="376">
        <v>4</v>
      </c>
      <c r="N16" s="371">
        <v>12205</v>
      </c>
      <c r="O16" s="376"/>
      <c r="P16" s="371"/>
      <c r="Q16" s="371">
        <v>213760</v>
      </c>
      <c r="R16" s="370">
        <f t="shared" si="0"/>
        <v>927752</v>
      </c>
    </row>
    <row r="17" spans="1:19" ht="25.5">
      <c r="A17" s="360">
        <v>40</v>
      </c>
      <c r="B17" s="360" t="s">
        <v>48</v>
      </c>
      <c r="C17" s="360" t="s">
        <v>174</v>
      </c>
      <c r="D17" s="360" t="s">
        <v>142</v>
      </c>
      <c r="E17" s="360">
        <v>5</v>
      </c>
      <c r="F17" s="368" t="s">
        <v>189</v>
      </c>
      <c r="G17" s="360" t="s">
        <v>186</v>
      </c>
      <c r="H17" s="358" t="s">
        <v>169</v>
      </c>
      <c r="I17" s="366">
        <v>32174</v>
      </c>
      <c r="J17" s="366" t="s">
        <v>182</v>
      </c>
      <c r="K17" s="358" t="s">
        <v>173</v>
      </c>
      <c r="L17" s="370">
        <v>986729</v>
      </c>
      <c r="M17" s="376">
        <v>7</v>
      </c>
      <c r="N17" s="371">
        <v>41808</v>
      </c>
      <c r="O17" s="376"/>
      <c r="P17" s="371"/>
      <c r="Q17" s="371">
        <v>407935</v>
      </c>
      <c r="R17" s="370">
        <f t="shared" si="0"/>
        <v>1436472</v>
      </c>
    </row>
    <row r="18" spans="1:19">
      <c r="A18" s="360"/>
      <c r="B18" s="360"/>
      <c r="C18" s="360"/>
      <c r="D18" s="360"/>
      <c r="E18" s="360"/>
      <c r="F18" s="360"/>
      <c r="G18" s="360"/>
      <c r="H18" s="360"/>
      <c r="I18" s="367"/>
      <c r="J18" s="367"/>
      <c r="K18" s="360"/>
      <c r="L18" s="370"/>
      <c r="M18" s="377"/>
      <c r="N18" s="371"/>
      <c r="O18" s="377"/>
      <c r="P18" s="371"/>
      <c r="Q18" s="371"/>
      <c r="R18" s="370"/>
      <c r="S18" s="361"/>
    </row>
    <row r="19" spans="1:19">
      <c r="A19" s="360"/>
      <c r="B19" s="360"/>
      <c r="C19" s="360"/>
      <c r="D19" s="360"/>
      <c r="E19" s="360"/>
      <c r="F19" s="360"/>
      <c r="G19" s="360"/>
      <c r="H19" s="360"/>
      <c r="I19" s="367"/>
      <c r="J19" s="367"/>
      <c r="K19" s="360"/>
      <c r="L19" s="372"/>
      <c r="M19" s="377"/>
      <c r="N19" s="372"/>
      <c r="O19" s="377"/>
      <c r="P19" s="372"/>
      <c r="Q19" s="372"/>
      <c r="R19" s="373"/>
    </row>
    <row r="21" spans="1:19">
      <c r="L21" s="369" t="s">
        <v>61</v>
      </c>
    </row>
    <row r="23" spans="1:19">
      <c r="B23" s="356" t="s">
        <v>61</v>
      </c>
    </row>
    <row r="24" spans="1:19">
      <c r="B24" s="356" t="s">
        <v>61</v>
      </c>
    </row>
    <row r="25" spans="1:19">
      <c r="B25" s="356" t="s">
        <v>61</v>
      </c>
    </row>
    <row r="26" spans="1:19" ht="15.75">
      <c r="B26" s="356" t="s">
        <v>61</v>
      </c>
      <c r="L26" s="374"/>
      <c r="M26" s="378"/>
      <c r="N26" s="374"/>
      <c r="O26" s="378"/>
      <c r="P26" s="374"/>
      <c r="Q26" s="374"/>
      <c r="R26" s="374"/>
    </row>
  </sheetData>
  <mergeCells count="4">
    <mergeCell ref="M5:N5"/>
    <mergeCell ref="O5:P5"/>
    <mergeCell ref="I6:J6"/>
    <mergeCell ref="B2:F2"/>
  </mergeCells>
  <phoneticPr fontId="2" type="noConversion"/>
  <pageMargins left="0" right="0" top="0" bottom="0" header="0" footer="0"/>
  <pageSetup scale="46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97"/>
  <sheetViews>
    <sheetView topLeftCell="W16" zoomScale="90" zoomScaleNormal="90" workbookViewId="0">
      <selection activeCell="AI25" sqref="AI25"/>
    </sheetView>
  </sheetViews>
  <sheetFormatPr baseColWidth="10" defaultRowHeight="12.75"/>
  <cols>
    <col min="1" max="1" width="4" customWidth="1"/>
    <col min="2" max="2" width="12.5703125" customWidth="1"/>
    <col min="3" max="3" width="35.42578125" customWidth="1"/>
    <col min="4" max="4" width="5.28515625" customWidth="1"/>
    <col min="5" max="5" width="11.5703125" customWidth="1"/>
    <col min="6" max="6" width="9.85546875" customWidth="1"/>
    <col min="7" max="7" width="10.85546875" customWidth="1"/>
    <col min="8" max="8" width="8.7109375" customWidth="1"/>
    <col min="9" max="9" width="10.140625" customWidth="1"/>
    <col min="10" max="11" width="8.42578125" customWidth="1"/>
    <col min="12" max="12" width="9.140625" customWidth="1"/>
    <col min="13" max="13" width="8.5703125" customWidth="1"/>
    <col min="14" max="14" width="10" customWidth="1"/>
    <col min="15" max="33" width="11.5703125" bestFit="1" customWidth="1"/>
  </cols>
  <sheetData>
    <row r="1" spans="1:34" ht="16.5" thickBot="1">
      <c r="C1" s="111" t="s">
        <v>161</v>
      </c>
      <c r="D1" s="111"/>
      <c r="E1" s="11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T1" s="37"/>
    </row>
    <row r="2" spans="1:34" ht="13.5" thickBot="1">
      <c r="C2" s="1"/>
      <c r="D2" s="355"/>
      <c r="E2" s="35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R2" s="1"/>
      <c r="T2" s="37"/>
      <c r="AD2" s="1"/>
      <c r="AG2" s="112">
        <v>2.21</v>
      </c>
    </row>
    <row r="3" spans="1:34" ht="13.5" thickBot="1">
      <c r="A3" s="3" t="s">
        <v>4</v>
      </c>
      <c r="B3" s="4" t="s">
        <v>3</v>
      </c>
      <c r="C3" s="98" t="s">
        <v>2</v>
      </c>
      <c r="D3" s="354"/>
      <c r="E3" s="354"/>
      <c r="F3" s="4" t="s">
        <v>63</v>
      </c>
      <c r="G3" s="4" t="s">
        <v>65</v>
      </c>
      <c r="H3" s="51" t="s">
        <v>103</v>
      </c>
      <c r="I3" s="4" t="s">
        <v>67</v>
      </c>
      <c r="J3" s="5" t="s">
        <v>69</v>
      </c>
      <c r="K3" s="4" t="s">
        <v>70</v>
      </c>
      <c r="L3" s="98" t="s">
        <v>71</v>
      </c>
      <c r="M3" s="218" t="s">
        <v>1</v>
      </c>
      <c r="N3" s="110" t="s">
        <v>137</v>
      </c>
      <c r="O3" s="63" t="s">
        <v>67</v>
      </c>
      <c r="P3" s="110" t="s">
        <v>137</v>
      </c>
      <c r="Q3" s="63" t="s">
        <v>67</v>
      </c>
      <c r="R3" s="4" t="s">
        <v>126</v>
      </c>
      <c r="S3" s="63" t="s">
        <v>67</v>
      </c>
      <c r="T3" s="48" t="s">
        <v>62</v>
      </c>
      <c r="U3" s="218" t="s">
        <v>1</v>
      </c>
      <c r="V3" s="4" t="s">
        <v>5</v>
      </c>
      <c r="W3" s="107" t="s">
        <v>6</v>
      </c>
      <c r="X3" s="76" t="s">
        <v>67</v>
      </c>
      <c r="Y3" s="100" t="s">
        <v>128</v>
      </c>
      <c r="Z3" s="99" t="s">
        <v>6</v>
      </c>
      <c r="AA3" s="4" t="s">
        <v>67</v>
      </c>
      <c r="AB3" s="63" t="s">
        <v>93</v>
      </c>
      <c r="AC3" s="63" t="s">
        <v>67</v>
      </c>
      <c r="AD3" s="4" t="s">
        <v>132</v>
      </c>
      <c r="AE3" s="218" t="s">
        <v>1</v>
      </c>
      <c r="AF3" s="220" t="s">
        <v>7</v>
      </c>
      <c r="AG3" s="63" t="s">
        <v>119</v>
      </c>
    </row>
    <row r="4" spans="1:34" ht="13.5" thickBot="1">
      <c r="A4" s="52"/>
      <c r="B4" s="55"/>
      <c r="C4" s="97"/>
      <c r="D4" s="53"/>
      <c r="E4" s="53"/>
      <c r="F4" s="55" t="s">
        <v>64</v>
      </c>
      <c r="G4" s="55" t="s">
        <v>66</v>
      </c>
      <c r="H4" s="53" t="s">
        <v>102</v>
      </c>
      <c r="I4" s="55" t="s">
        <v>68</v>
      </c>
      <c r="J4" s="53" t="s">
        <v>120</v>
      </c>
      <c r="K4" s="55">
        <v>18.716999999999999</v>
      </c>
      <c r="L4" s="97" t="s">
        <v>72</v>
      </c>
      <c r="M4" s="219" t="s">
        <v>127</v>
      </c>
      <c r="N4" s="55"/>
      <c r="O4" s="109">
        <v>0.25</v>
      </c>
      <c r="P4" s="55"/>
      <c r="Q4" s="109">
        <v>0.5</v>
      </c>
      <c r="R4" s="55"/>
      <c r="S4" s="64" t="s">
        <v>116</v>
      </c>
      <c r="T4" s="54" t="s">
        <v>118</v>
      </c>
      <c r="U4" s="219" t="s">
        <v>73</v>
      </c>
      <c r="V4" s="55"/>
      <c r="W4" s="108"/>
      <c r="X4" s="96" t="s">
        <v>131</v>
      </c>
      <c r="Y4" s="100">
        <v>23773.41</v>
      </c>
      <c r="Z4" s="64" t="s">
        <v>130</v>
      </c>
      <c r="AA4" s="64" t="s">
        <v>131</v>
      </c>
      <c r="AB4" s="64" t="s">
        <v>94</v>
      </c>
      <c r="AC4" s="64" t="s">
        <v>131</v>
      </c>
      <c r="AD4" s="55" t="s">
        <v>133</v>
      </c>
      <c r="AE4" s="219" t="s">
        <v>117</v>
      </c>
      <c r="AF4" s="221" t="s">
        <v>8</v>
      </c>
      <c r="AG4" s="64" t="s">
        <v>52</v>
      </c>
      <c r="AH4" s="1"/>
    </row>
    <row r="5" spans="1:34">
      <c r="A5" s="305">
        <v>1</v>
      </c>
      <c r="B5" s="306" t="s">
        <v>79</v>
      </c>
      <c r="C5" s="307" t="s">
        <v>111</v>
      </c>
      <c r="D5" s="352" t="s">
        <v>141</v>
      </c>
      <c r="E5" s="306">
        <v>15</v>
      </c>
      <c r="F5" s="350">
        <v>234965</v>
      </c>
      <c r="G5" s="309">
        <f>F5*1</f>
        <v>234965</v>
      </c>
      <c r="H5" s="308"/>
      <c r="I5" s="309">
        <v>33024</v>
      </c>
      <c r="J5" s="308">
        <v>0</v>
      </c>
      <c r="K5" s="309">
        <v>16630</v>
      </c>
      <c r="L5" s="308">
        <v>81648</v>
      </c>
      <c r="M5" s="310">
        <f>SUM(F5+G5+H5+I5+J5+K5+L5)</f>
        <v>601232</v>
      </c>
      <c r="N5" s="306">
        <v>3</v>
      </c>
      <c r="O5" s="311">
        <f>F5*2/190*1.25*N5</f>
        <v>9274.9342105263149</v>
      </c>
      <c r="P5" s="308">
        <v>0</v>
      </c>
      <c r="Q5" s="311">
        <f>F5*2/190*1.5*P5</f>
        <v>0</v>
      </c>
      <c r="R5" s="290">
        <v>0</v>
      </c>
      <c r="S5" s="50">
        <v>0</v>
      </c>
      <c r="T5" s="308">
        <v>0</v>
      </c>
      <c r="U5" s="289">
        <f>SUM(M5+O5+Q5+S5+T5)</f>
        <v>610506.93421052629</v>
      </c>
      <c r="V5" s="312" t="s">
        <v>57</v>
      </c>
      <c r="W5" s="313">
        <v>0.1144</v>
      </c>
      <c r="X5" s="290">
        <f>M5*W5</f>
        <v>68780.940799999997</v>
      </c>
      <c r="Y5" s="314" t="s">
        <v>58</v>
      </c>
      <c r="Z5" s="315">
        <v>1.9550000000000001</v>
      </c>
      <c r="AA5" s="316">
        <f>Y4*Z5</f>
        <v>46477.01655</v>
      </c>
      <c r="AB5" s="348" t="s">
        <v>140</v>
      </c>
      <c r="AC5" s="317">
        <v>1181</v>
      </c>
      <c r="AD5" s="318">
        <v>1477</v>
      </c>
      <c r="AE5" s="144">
        <f>X5+AA5+AC5+AC6+AD5+AD6</f>
        <v>127915.95735</v>
      </c>
      <c r="AF5" s="145">
        <f>U5-AE5</f>
        <v>482590.97686052631</v>
      </c>
      <c r="AG5" s="319">
        <f>SUM(M5)*2.21/100</f>
        <v>13287.227199999999</v>
      </c>
      <c r="AH5" s="1"/>
    </row>
    <row r="6" spans="1:34">
      <c r="A6" s="320"/>
      <c r="B6" s="86"/>
      <c r="C6" s="83"/>
      <c r="D6" s="353"/>
      <c r="E6" s="353"/>
      <c r="F6" s="351"/>
      <c r="G6" s="158"/>
      <c r="H6" s="157"/>
      <c r="I6" s="158"/>
      <c r="J6" s="157"/>
      <c r="K6" s="158"/>
      <c r="L6" s="157"/>
      <c r="M6" s="159"/>
      <c r="N6" s="86"/>
      <c r="O6" s="85"/>
      <c r="P6" s="157"/>
      <c r="Q6" s="85"/>
      <c r="R6" s="93"/>
      <c r="S6" s="8"/>
      <c r="T6" s="157"/>
      <c r="U6" s="119"/>
      <c r="V6" s="92"/>
      <c r="W6" s="177"/>
      <c r="X6" s="157"/>
      <c r="Y6" s="84"/>
      <c r="Z6" s="213">
        <v>7.0000000000000007E-2</v>
      </c>
      <c r="AA6" s="106"/>
      <c r="AB6" s="85"/>
      <c r="AC6" s="140"/>
      <c r="AD6" s="198">
        <v>10000</v>
      </c>
      <c r="AE6" s="199"/>
      <c r="AF6" s="200"/>
      <c r="AG6" s="321"/>
    </row>
    <row r="7" spans="1:34">
      <c r="A7" s="19">
        <v>2</v>
      </c>
      <c r="B7" s="28" t="s">
        <v>114</v>
      </c>
      <c r="C7" s="89" t="s">
        <v>112</v>
      </c>
      <c r="D7" s="89" t="s">
        <v>141</v>
      </c>
      <c r="E7" s="89">
        <v>15</v>
      </c>
      <c r="F7" s="123">
        <v>234965</v>
      </c>
      <c r="G7" s="31">
        <f>F7*1</f>
        <v>234965</v>
      </c>
      <c r="H7" s="166"/>
      <c r="I7" s="6">
        <v>33024</v>
      </c>
      <c r="J7" s="167">
        <v>0</v>
      </c>
      <c r="K7" s="168">
        <v>16630</v>
      </c>
      <c r="L7" s="123">
        <v>95101</v>
      </c>
      <c r="M7" s="168">
        <f>SUM(F7+G7+H7+I7+J7+K7+L7)</f>
        <v>614685</v>
      </c>
      <c r="N7" s="123">
        <v>5</v>
      </c>
      <c r="O7" s="7">
        <f>F7*2/190*N7*1.25</f>
        <v>15458.223684210525</v>
      </c>
      <c r="P7" s="123">
        <v>14</v>
      </c>
      <c r="Q7" s="7">
        <f>F7*2/190*P7*1.5</f>
        <v>51939.631578947374</v>
      </c>
      <c r="R7" s="6">
        <v>1</v>
      </c>
      <c r="S7" s="167">
        <v>0</v>
      </c>
      <c r="T7" s="168">
        <v>0</v>
      </c>
      <c r="U7" s="169">
        <f>SUM(M7+O7+Q7+S7+T7)</f>
        <v>682082.85526315798</v>
      </c>
      <c r="V7" s="41" t="s">
        <v>53</v>
      </c>
      <c r="W7" s="180">
        <v>0.1236</v>
      </c>
      <c r="X7" s="95">
        <f>M7*W7</f>
        <v>75975.066000000006</v>
      </c>
      <c r="Y7" s="41" t="s">
        <v>54</v>
      </c>
      <c r="Z7" s="187">
        <v>7.0000000000000007E-2</v>
      </c>
      <c r="AA7" s="66">
        <f>M7*Z7</f>
        <v>43027.950000000004</v>
      </c>
      <c r="AB7" s="16" t="s">
        <v>97</v>
      </c>
      <c r="AC7" s="135">
        <v>10079</v>
      </c>
      <c r="AD7" s="133">
        <v>2015</v>
      </c>
      <c r="AE7" s="134">
        <f>X7+AA7+AC7+AC8+AC9+AD7+AD8+AD9</f>
        <v>212951.016</v>
      </c>
      <c r="AF7" s="197">
        <f>U7-AE7</f>
        <v>469131.83926315798</v>
      </c>
      <c r="AG7" s="203">
        <f>SUM(M7)*2.21/100</f>
        <v>13584.538500000001</v>
      </c>
    </row>
    <row r="8" spans="1:34">
      <c r="A8" s="20"/>
      <c r="B8" s="29"/>
      <c r="C8" s="87"/>
      <c r="D8" s="87"/>
      <c r="E8" s="87"/>
      <c r="F8" s="124"/>
      <c r="G8" s="115"/>
      <c r="H8" s="160"/>
      <c r="I8" s="95"/>
      <c r="J8" s="161"/>
      <c r="K8" s="115"/>
      <c r="L8" s="124"/>
      <c r="M8" s="115"/>
      <c r="N8" s="124"/>
      <c r="O8" s="121"/>
      <c r="P8" s="124"/>
      <c r="Q8" s="121"/>
      <c r="R8" s="156"/>
      <c r="S8" s="161"/>
      <c r="T8" s="115"/>
      <c r="U8" s="156"/>
      <c r="V8" s="42"/>
      <c r="W8" s="178"/>
      <c r="X8" s="57"/>
      <c r="Y8" s="42"/>
      <c r="Z8" s="104"/>
      <c r="AA8" s="188"/>
      <c r="AB8" s="12" t="s">
        <v>150</v>
      </c>
      <c r="AC8" s="139">
        <v>72354</v>
      </c>
      <c r="AD8" s="137">
        <v>5000</v>
      </c>
      <c r="AE8" s="138"/>
      <c r="AF8" s="118"/>
      <c r="AG8" s="201"/>
    </row>
    <row r="9" spans="1:34">
      <c r="A9" s="22"/>
      <c r="B9" s="8"/>
      <c r="C9" s="88"/>
      <c r="D9" s="88"/>
      <c r="E9" s="88"/>
      <c r="F9" s="122"/>
      <c r="G9" s="159"/>
      <c r="H9" s="162"/>
      <c r="I9" s="93"/>
      <c r="J9" s="163"/>
      <c r="K9" s="159"/>
      <c r="L9" s="122"/>
      <c r="M9" s="159"/>
      <c r="N9" s="122"/>
      <c r="O9" s="120"/>
      <c r="P9" s="122"/>
      <c r="Q9" s="120"/>
      <c r="R9" s="119"/>
      <c r="S9" s="163"/>
      <c r="T9" s="159"/>
      <c r="U9" s="119"/>
      <c r="V9" s="43"/>
      <c r="W9" s="179"/>
      <c r="X9" s="158"/>
      <c r="Y9" s="43"/>
      <c r="Z9" s="184"/>
      <c r="AA9" s="186"/>
      <c r="AB9" s="14" t="s">
        <v>148</v>
      </c>
      <c r="AC9" s="142">
        <v>4500</v>
      </c>
      <c r="AD9" s="141"/>
      <c r="AE9" s="132"/>
      <c r="AF9" s="142"/>
      <c r="AG9" s="202"/>
    </row>
    <row r="10" spans="1:34">
      <c r="A10" s="19">
        <v>3</v>
      </c>
      <c r="B10" s="28" t="s">
        <v>10</v>
      </c>
      <c r="C10" s="89" t="s">
        <v>11</v>
      </c>
      <c r="D10" s="89" t="s">
        <v>143</v>
      </c>
      <c r="E10" s="89">
        <v>13</v>
      </c>
      <c r="F10" s="123">
        <v>553453</v>
      </c>
      <c r="G10" s="31">
        <f>F10*1</f>
        <v>553453</v>
      </c>
      <c r="H10" s="166"/>
      <c r="I10" s="6">
        <v>73761</v>
      </c>
      <c r="J10" s="167">
        <v>0</v>
      </c>
      <c r="K10" s="168">
        <v>16630</v>
      </c>
      <c r="L10" s="123">
        <v>121034</v>
      </c>
      <c r="M10" s="170">
        <f>SUM(F10+G10+H10+I10+J10+K10+L10)</f>
        <v>1318331</v>
      </c>
      <c r="N10" s="123">
        <v>40</v>
      </c>
      <c r="O10" s="7">
        <f>F10*2/190*N10*1.25</f>
        <v>291291.05263157893</v>
      </c>
      <c r="P10" s="123">
        <v>0</v>
      </c>
      <c r="Q10" s="7">
        <f>F10*2/190*P10*1.5</f>
        <v>0</v>
      </c>
      <c r="R10" s="6">
        <v>2</v>
      </c>
      <c r="S10" s="167">
        <v>0</v>
      </c>
      <c r="T10" s="168">
        <v>0</v>
      </c>
      <c r="U10" s="169">
        <f>SUM(M10+O10+Q10+S10+T10)</f>
        <v>1609622.0526315789</v>
      </c>
      <c r="V10" s="41" t="s">
        <v>53</v>
      </c>
      <c r="W10" s="180">
        <v>0.1236</v>
      </c>
      <c r="X10" s="95">
        <f>M10*W10</f>
        <v>162945.71160000001</v>
      </c>
      <c r="Y10" s="209" t="s">
        <v>51</v>
      </c>
      <c r="Z10" s="207">
        <v>5.07</v>
      </c>
      <c r="AA10" s="190">
        <f>Z10*Y4</f>
        <v>120531.1887</v>
      </c>
      <c r="AB10" s="16" t="s">
        <v>96</v>
      </c>
      <c r="AC10" s="135">
        <v>123882</v>
      </c>
      <c r="AD10" s="133">
        <v>32733</v>
      </c>
      <c r="AE10" s="133">
        <f>X10+AA10+AC10+AC11+AC12+AC13+AC14+AD10+AD11</f>
        <v>472793.90029999998</v>
      </c>
      <c r="AF10" s="228">
        <f>U10-AE10</f>
        <v>1136828.152331579</v>
      </c>
      <c r="AG10" s="203">
        <f>SUM(M10)*2.21/100</f>
        <v>29135.115099999999</v>
      </c>
    </row>
    <row r="11" spans="1:34">
      <c r="A11" s="20"/>
      <c r="B11" s="29"/>
      <c r="C11" s="87"/>
      <c r="D11" s="87"/>
      <c r="E11" s="87"/>
      <c r="F11" s="124"/>
      <c r="G11" s="115"/>
      <c r="H11" s="160"/>
      <c r="I11" s="95"/>
      <c r="J11" s="161"/>
      <c r="K11" s="115"/>
      <c r="L11" s="124"/>
      <c r="M11" s="121"/>
      <c r="N11" s="124"/>
      <c r="O11" s="121"/>
      <c r="P11" s="124"/>
      <c r="Q11" s="121"/>
      <c r="R11" s="156"/>
      <c r="S11" s="161"/>
      <c r="T11" s="115"/>
      <c r="U11" s="156"/>
      <c r="V11" s="42"/>
      <c r="W11" s="178"/>
      <c r="X11" s="57"/>
      <c r="Y11" s="42"/>
      <c r="Z11" s="214">
        <v>7.0000000000000007E-2</v>
      </c>
      <c r="AA11" s="105"/>
      <c r="AB11" s="12" t="s">
        <v>98</v>
      </c>
      <c r="AC11" s="139">
        <v>18702</v>
      </c>
      <c r="AD11" s="137">
        <v>5000</v>
      </c>
      <c r="AE11" s="137"/>
      <c r="AF11" s="139"/>
      <c r="AG11" s="204"/>
    </row>
    <row r="12" spans="1:34">
      <c r="A12" s="20"/>
      <c r="B12" s="29"/>
      <c r="C12" s="87"/>
      <c r="D12" s="87"/>
      <c r="E12" s="87"/>
      <c r="F12" s="124"/>
      <c r="G12" s="115"/>
      <c r="H12" s="160"/>
      <c r="I12" s="95"/>
      <c r="J12" s="161"/>
      <c r="K12" s="115"/>
      <c r="L12" s="124"/>
      <c r="M12" s="121"/>
      <c r="N12" s="124"/>
      <c r="O12" s="121"/>
      <c r="P12" s="124"/>
      <c r="Q12" s="121"/>
      <c r="R12" s="156"/>
      <c r="S12" s="161"/>
      <c r="T12" s="115"/>
      <c r="U12" s="156"/>
      <c r="V12" s="42"/>
      <c r="W12" s="178"/>
      <c r="X12" s="57"/>
      <c r="Y12" s="42"/>
      <c r="Z12" s="104"/>
      <c r="AA12" s="188"/>
      <c r="AB12" s="12" t="s">
        <v>148</v>
      </c>
      <c r="AC12" s="139">
        <v>9000</v>
      </c>
      <c r="AD12" s="137"/>
      <c r="AE12" s="137"/>
      <c r="AF12" s="139"/>
      <c r="AG12" s="204"/>
    </row>
    <row r="13" spans="1:34">
      <c r="A13" s="20"/>
      <c r="B13" s="29"/>
      <c r="C13" s="87"/>
      <c r="D13" s="87"/>
      <c r="E13" s="87"/>
      <c r="F13" s="124"/>
      <c r="G13" s="115"/>
      <c r="H13" s="160"/>
      <c r="I13" s="95"/>
      <c r="J13" s="161"/>
      <c r="K13" s="115"/>
      <c r="L13" s="124"/>
      <c r="M13" s="121"/>
      <c r="N13" s="124"/>
      <c r="O13" s="121"/>
      <c r="P13" s="124"/>
      <c r="Q13" s="121"/>
      <c r="R13" s="156"/>
      <c r="S13" s="161"/>
      <c r="T13" s="115"/>
      <c r="U13" s="156"/>
      <c r="V13" s="42"/>
      <c r="W13" s="178"/>
      <c r="X13" s="57"/>
      <c r="Y13" s="42"/>
      <c r="Z13" s="104"/>
      <c r="AA13" s="188"/>
      <c r="AB13" s="12"/>
      <c r="AC13" s="139">
        <v>0</v>
      </c>
      <c r="AD13" s="137"/>
      <c r="AE13" s="137"/>
      <c r="AF13" s="139"/>
      <c r="AG13" s="204"/>
    </row>
    <row r="14" spans="1:34">
      <c r="A14" s="22"/>
      <c r="B14" s="8"/>
      <c r="C14" s="88"/>
      <c r="D14" s="88"/>
      <c r="E14" s="88"/>
      <c r="F14" s="122"/>
      <c r="G14" s="159"/>
      <c r="H14" s="162"/>
      <c r="I14" s="93"/>
      <c r="J14" s="163"/>
      <c r="K14" s="159"/>
      <c r="L14" s="122"/>
      <c r="M14" s="120" t="s">
        <v>61</v>
      </c>
      <c r="N14" s="122"/>
      <c r="O14" s="120"/>
      <c r="P14" s="122"/>
      <c r="Q14" s="120"/>
      <c r="R14" s="119"/>
      <c r="S14" s="163"/>
      <c r="T14" s="159"/>
      <c r="U14" s="119"/>
      <c r="V14" s="43"/>
      <c r="W14" s="179"/>
      <c r="X14" s="158"/>
      <c r="Y14" s="43"/>
      <c r="Z14" s="184"/>
      <c r="AA14" s="186"/>
      <c r="AB14" s="14"/>
      <c r="AC14" s="142">
        <v>0</v>
      </c>
      <c r="AD14" s="141"/>
      <c r="AE14" s="141"/>
      <c r="AF14" s="142"/>
      <c r="AG14" s="202"/>
    </row>
    <row r="15" spans="1:34">
      <c r="A15" s="20">
        <v>4</v>
      </c>
      <c r="B15" s="29" t="s">
        <v>12</v>
      </c>
      <c r="C15" s="87" t="s">
        <v>13</v>
      </c>
      <c r="D15" s="87" t="s">
        <v>142</v>
      </c>
      <c r="E15" s="87">
        <v>10</v>
      </c>
      <c r="F15" s="124">
        <v>327229</v>
      </c>
      <c r="G15" s="31">
        <f>F15*1</f>
        <v>327229</v>
      </c>
      <c r="H15" s="160"/>
      <c r="I15" s="6">
        <v>44755</v>
      </c>
      <c r="J15" s="161">
        <v>0</v>
      </c>
      <c r="K15" s="115">
        <v>16630</v>
      </c>
      <c r="L15" s="124">
        <v>110234</v>
      </c>
      <c r="M15" s="121">
        <f>SUM(F15+G15+H15+I15+J15+K15+L15)</f>
        <v>826077</v>
      </c>
      <c r="N15" s="124">
        <v>1</v>
      </c>
      <c r="O15" s="7">
        <f>F15*2/190*N15*1.25</f>
        <v>4305.6447368421059</v>
      </c>
      <c r="P15" s="124">
        <v>1</v>
      </c>
      <c r="Q15" s="7">
        <f>F15*2/190*P15*1.5</f>
        <v>5166.7736842105269</v>
      </c>
      <c r="R15" s="95">
        <v>0</v>
      </c>
      <c r="S15" s="161">
        <v>0</v>
      </c>
      <c r="T15" s="115">
        <v>0</v>
      </c>
      <c r="U15" s="156">
        <f>SUM(M15+O15+Q15+S15+T15)</f>
        <v>835549.41842105263</v>
      </c>
      <c r="V15" s="42" t="s">
        <v>53</v>
      </c>
      <c r="W15" s="178">
        <v>0.1236</v>
      </c>
      <c r="X15" s="95">
        <f>M15*W15</f>
        <v>102103.11720000001</v>
      </c>
      <c r="Y15" s="42" t="s">
        <v>54</v>
      </c>
      <c r="Z15" s="185">
        <v>7.0000000000000007E-2</v>
      </c>
      <c r="AA15" s="66">
        <f>M15*Z15</f>
        <v>57825.390000000007</v>
      </c>
      <c r="AB15" s="16" t="s">
        <v>152</v>
      </c>
      <c r="AC15" s="139">
        <v>122483</v>
      </c>
      <c r="AD15" s="137">
        <v>10471</v>
      </c>
      <c r="AE15" s="138">
        <f>X15+AA15+AC15+AC16+AC17+AC18+AD15+AD17</f>
        <v>469356.50719999999</v>
      </c>
      <c r="AF15" s="197">
        <f>U15-AE15</f>
        <v>366192.91122105264</v>
      </c>
      <c r="AG15" s="203">
        <f>SUM(M15)*2.21/100</f>
        <v>18256.3017</v>
      </c>
    </row>
    <row r="16" spans="1:34">
      <c r="A16" s="20"/>
      <c r="B16" s="29"/>
      <c r="C16" s="87"/>
      <c r="D16" s="87"/>
      <c r="E16" s="87"/>
      <c r="F16" s="124"/>
      <c r="G16" s="57"/>
      <c r="H16" s="160"/>
      <c r="I16" s="95"/>
      <c r="J16" s="161"/>
      <c r="K16" s="115"/>
      <c r="L16" s="124"/>
      <c r="M16" s="121"/>
      <c r="N16" s="124"/>
      <c r="O16" s="82"/>
      <c r="P16" s="124"/>
      <c r="Q16" s="82"/>
      <c r="R16" s="95"/>
      <c r="S16" s="161"/>
      <c r="T16" s="115"/>
      <c r="U16" s="156"/>
      <c r="V16" s="42"/>
      <c r="W16" s="178"/>
      <c r="X16" s="82"/>
      <c r="Y16" s="42"/>
      <c r="Z16" s="185"/>
      <c r="AA16" s="105"/>
      <c r="AB16" s="12" t="s">
        <v>95</v>
      </c>
      <c r="AC16" s="139">
        <v>2250</v>
      </c>
      <c r="AD16" s="137"/>
      <c r="AE16" s="138"/>
      <c r="AF16" s="197"/>
      <c r="AG16" s="201"/>
    </row>
    <row r="17" spans="1:33">
      <c r="A17" s="20"/>
      <c r="B17" s="29"/>
      <c r="C17" s="87"/>
      <c r="D17" s="87"/>
      <c r="E17" s="87"/>
      <c r="F17" s="124"/>
      <c r="G17" s="115"/>
      <c r="H17" s="160"/>
      <c r="I17" s="95"/>
      <c r="J17" s="161"/>
      <c r="K17" s="115"/>
      <c r="L17" s="124"/>
      <c r="M17" s="115"/>
      <c r="N17" s="124"/>
      <c r="O17" s="121"/>
      <c r="P17" s="124"/>
      <c r="Q17" s="121"/>
      <c r="R17" s="156"/>
      <c r="S17" s="161"/>
      <c r="T17" s="115"/>
      <c r="U17" s="156"/>
      <c r="V17" s="42"/>
      <c r="W17" s="178"/>
      <c r="X17" s="57"/>
      <c r="Y17" s="42"/>
      <c r="Z17" s="189"/>
      <c r="AA17" s="188"/>
      <c r="AB17" s="12" t="s">
        <v>151</v>
      </c>
      <c r="AC17" s="139">
        <v>164724</v>
      </c>
      <c r="AD17" s="137">
        <v>5000</v>
      </c>
      <c r="AE17" s="138"/>
      <c r="AF17" s="139"/>
      <c r="AG17" s="204"/>
    </row>
    <row r="18" spans="1:33">
      <c r="A18" s="20"/>
      <c r="B18" s="29"/>
      <c r="C18" s="87"/>
      <c r="D18" s="87"/>
      <c r="E18" s="87"/>
      <c r="F18" s="124"/>
      <c r="G18" s="115"/>
      <c r="H18" s="160"/>
      <c r="I18" s="114"/>
      <c r="J18" s="161"/>
      <c r="K18" s="115"/>
      <c r="L18" s="124"/>
      <c r="M18" s="115"/>
      <c r="N18" s="124"/>
      <c r="O18" s="121"/>
      <c r="P18" s="124"/>
      <c r="Q18" s="121"/>
      <c r="R18" s="156"/>
      <c r="S18" s="161"/>
      <c r="T18" s="115"/>
      <c r="U18" s="156"/>
      <c r="V18" s="42"/>
      <c r="W18" s="178"/>
      <c r="X18" s="57"/>
      <c r="Y18" s="42"/>
      <c r="Z18" s="189"/>
      <c r="AA18" s="188"/>
      <c r="AB18" s="14" t="s">
        <v>148</v>
      </c>
      <c r="AC18" s="139">
        <v>4500</v>
      </c>
      <c r="AD18" s="137"/>
      <c r="AE18" s="138"/>
      <c r="AF18" s="139"/>
      <c r="AG18" s="204"/>
    </row>
    <row r="19" spans="1:33">
      <c r="A19" s="19">
        <v>5</v>
      </c>
      <c r="B19" s="28" t="s">
        <v>14</v>
      </c>
      <c r="C19" s="89" t="s">
        <v>15</v>
      </c>
      <c r="D19" s="89" t="s">
        <v>144</v>
      </c>
      <c r="E19" s="89">
        <v>11</v>
      </c>
      <c r="F19" s="123">
        <v>285395</v>
      </c>
      <c r="G19" s="31">
        <f>F19*1</f>
        <v>285395</v>
      </c>
      <c r="H19" s="166"/>
      <c r="I19" s="171">
        <v>39185</v>
      </c>
      <c r="J19" s="167">
        <v>0</v>
      </c>
      <c r="K19" s="168">
        <v>16630</v>
      </c>
      <c r="L19" s="123">
        <v>220000</v>
      </c>
      <c r="M19" s="168">
        <f>SUM(F19+G19+H19+I19+J19+K19+L19)</f>
        <v>846605</v>
      </c>
      <c r="N19" s="123">
        <v>25</v>
      </c>
      <c r="O19" s="7">
        <f>F19*2/190*N19*1.25</f>
        <v>93879.93421052632</v>
      </c>
      <c r="P19" s="123">
        <v>0</v>
      </c>
      <c r="Q19" s="7">
        <f>F19*2/190*P19*1.5</f>
        <v>0</v>
      </c>
      <c r="R19" s="6">
        <v>0</v>
      </c>
      <c r="S19" s="167">
        <v>0</v>
      </c>
      <c r="T19" s="168">
        <v>0</v>
      </c>
      <c r="U19" s="169">
        <f>SUM(M19+O19+Q19+S19+T19)</f>
        <v>940484.93421052629</v>
      </c>
      <c r="V19" s="41" t="s">
        <v>53</v>
      </c>
      <c r="W19" s="180">
        <v>0.1236</v>
      </c>
      <c r="X19" s="6">
        <f>M19*W19</f>
        <v>104640.378</v>
      </c>
      <c r="Y19" s="41" t="s">
        <v>54</v>
      </c>
      <c r="Z19" s="187">
        <v>7.0000000000000007E-2</v>
      </c>
      <c r="AA19" s="66">
        <f>M19*Z19</f>
        <v>59262.350000000006</v>
      </c>
      <c r="AB19" s="16"/>
      <c r="AC19" s="135">
        <v>0</v>
      </c>
      <c r="AD19" s="133">
        <v>11292</v>
      </c>
      <c r="AE19" s="134">
        <f>X19+AA19+AC19+AC20+AD19+AD20</f>
        <v>180194.728</v>
      </c>
      <c r="AF19" s="228">
        <f>U19-AE19</f>
        <v>760290.20621052629</v>
      </c>
      <c r="AG19" s="203">
        <f>SUM(M19)*2.21/100</f>
        <v>18709.970499999999</v>
      </c>
    </row>
    <row r="20" spans="1:33">
      <c r="A20" s="22"/>
      <c r="B20" s="8"/>
      <c r="C20" s="88"/>
      <c r="D20" s="88"/>
      <c r="E20" s="88"/>
      <c r="F20" s="122"/>
      <c r="G20" s="161"/>
      <c r="H20" s="162"/>
      <c r="I20" s="114"/>
      <c r="J20" s="163"/>
      <c r="K20" s="159"/>
      <c r="L20" s="122"/>
      <c r="M20" s="115"/>
      <c r="N20" s="122"/>
      <c r="O20" s="120"/>
      <c r="P20" s="122"/>
      <c r="Q20" s="120"/>
      <c r="R20" s="119"/>
      <c r="S20" s="163"/>
      <c r="T20" s="159"/>
      <c r="U20" s="119"/>
      <c r="V20" s="43"/>
      <c r="W20" s="179"/>
      <c r="X20" s="157"/>
      <c r="Y20" s="43"/>
      <c r="Z20" s="184"/>
      <c r="AA20" s="186"/>
      <c r="AB20" s="14"/>
      <c r="AC20" s="142">
        <v>0</v>
      </c>
      <c r="AD20" s="141">
        <v>5000</v>
      </c>
      <c r="AE20" s="132"/>
      <c r="AF20" s="142"/>
      <c r="AG20" s="202"/>
    </row>
    <row r="21" spans="1:33">
      <c r="A21" s="20">
        <v>6</v>
      </c>
      <c r="B21" s="29" t="s">
        <v>138</v>
      </c>
      <c r="C21" s="87" t="s">
        <v>139</v>
      </c>
      <c r="D21" s="87" t="s">
        <v>141</v>
      </c>
      <c r="E21" s="87">
        <v>15</v>
      </c>
      <c r="F21" s="160">
        <v>234965</v>
      </c>
      <c r="G21" s="171">
        <f>F21*1</f>
        <v>234965</v>
      </c>
      <c r="H21" s="115"/>
      <c r="I21" s="171">
        <v>33024</v>
      </c>
      <c r="J21" s="161">
        <v>0</v>
      </c>
      <c r="K21" s="115">
        <v>16630</v>
      </c>
      <c r="L21" s="160">
        <v>0</v>
      </c>
      <c r="M21" s="123">
        <f>SUM(F21+G21+H21+I21+J21+K21+L21)</f>
        <v>519584</v>
      </c>
      <c r="N21" s="161">
        <v>0</v>
      </c>
      <c r="O21" s="7">
        <f>F21*2/190*N21*1.25</f>
        <v>0</v>
      </c>
      <c r="P21" s="124">
        <v>0</v>
      </c>
      <c r="Q21" s="7">
        <f>F21*2/190*P21*1.5</f>
        <v>0</v>
      </c>
      <c r="R21" s="156">
        <v>0</v>
      </c>
      <c r="S21" s="161">
        <v>0</v>
      </c>
      <c r="T21" s="115">
        <v>0</v>
      </c>
      <c r="U21" s="169">
        <f>SUM(M21+O21+Q21+S21+T21)</f>
        <v>519584</v>
      </c>
      <c r="V21" s="42" t="s">
        <v>99</v>
      </c>
      <c r="W21" s="178">
        <v>0.1077</v>
      </c>
      <c r="X21" s="95">
        <f>M21*W21</f>
        <v>55959.196800000005</v>
      </c>
      <c r="Y21" s="42" t="s">
        <v>54</v>
      </c>
      <c r="Z21" s="222">
        <v>7.0000000000000007E-2</v>
      </c>
      <c r="AA21" s="66">
        <f>M21*Z21</f>
        <v>36370.880000000005</v>
      </c>
      <c r="AB21" s="12"/>
      <c r="AC21" s="139">
        <v>0</v>
      </c>
      <c r="AD21" s="137">
        <v>1848</v>
      </c>
      <c r="AE21" s="138">
        <f>X21+AA21+AC21+AC22+AD21+AD22</f>
        <v>99178.07680000001</v>
      </c>
      <c r="AF21" s="197">
        <f>U21-AE21</f>
        <v>420405.92319999996</v>
      </c>
      <c r="AG21" s="203">
        <f>SUM(M21)*2.21/100</f>
        <v>11482.806399999999</v>
      </c>
    </row>
    <row r="22" spans="1:33">
      <c r="A22" s="20"/>
      <c r="B22" s="29"/>
      <c r="C22" s="87"/>
      <c r="D22" s="87"/>
      <c r="E22" s="87"/>
      <c r="F22" s="160"/>
      <c r="G22" s="157"/>
      <c r="H22" s="115"/>
      <c r="I22" s="157"/>
      <c r="J22" s="161"/>
      <c r="K22" s="115"/>
      <c r="L22" s="160"/>
      <c r="M22" s="122"/>
      <c r="N22" s="161"/>
      <c r="O22" s="121"/>
      <c r="P22" s="124"/>
      <c r="Q22" s="121"/>
      <c r="R22" s="156"/>
      <c r="S22" s="161"/>
      <c r="T22" s="115"/>
      <c r="U22" s="156"/>
      <c r="V22" s="42"/>
      <c r="W22" s="178"/>
      <c r="X22" s="57"/>
      <c r="Y22" s="42"/>
      <c r="Z22" s="189"/>
      <c r="AA22" s="188"/>
      <c r="AB22" s="12"/>
      <c r="AC22" s="139"/>
      <c r="AD22" s="137">
        <v>5000</v>
      </c>
      <c r="AE22" s="138"/>
      <c r="AF22" s="139"/>
      <c r="AG22" s="203"/>
    </row>
    <row r="23" spans="1:33">
      <c r="A23" s="19">
        <v>7</v>
      </c>
      <c r="B23" s="28" t="s">
        <v>16</v>
      </c>
      <c r="C23" s="89" t="s">
        <v>17</v>
      </c>
      <c r="D23" s="89" t="s">
        <v>141</v>
      </c>
      <c r="E23" s="89">
        <v>15</v>
      </c>
      <c r="F23" s="123">
        <v>234965</v>
      </c>
      <c r="G23" s="57">
        <f>F23*1</f>
        <v>234965</v>
      </c>
      <c r="H23" s="166"/>
      <c r="I23" s="114">
        <v>33024</v>
      </c>
      <c r="J23" s="167">
        <v>0</v>
      </c>
      <c r="K23" s="168">
        <v>16630</v>
      </c>
      <c r="L23" s="123">
        <v>0</v>
      </c>
      <c r="M23" s="115">
        <f>SUM(F23+G23+H23+I23+J23+K23+L23)</f>
        <v>519584</v>
      </c>
      <c r="N23" s="123">
        <v>0</v>
      </c>
      <c r="O23" s="7">
        <f>F23*2/190*N23*1.25</f>
        <v>0</v>
      </c>
      <c r="P23" s="123">
        <v>0</v>
      </c>
      <c r="Q23" s="7">
        <f>F23*2/190*P23*1.5</f>
        <v>0</v>
      </c>
      <c r="R23" s="6">
        <v>0</v>
      </c>
      <c r="S23" s="167">
        <v>0</v>
      </c>
      <c r="T23" s="168">
        <v>0</v>
      </c>
      <c r="U23" s="169">
        <f>SUM(M23+O23+Q23+S23+T23)</f>
        <v>519584</v>
      </c>
      <c r="V23" s="68" t="s">
        <v>55</v>
      </c>
      <c r="W23" s="182">
        <v>0.1154</v>
      </c>
      <c r="X23" s="6">
        <f>M23*W23</f>
        <v>59959.993600000002</v>
      </c>
      <c r="Y23" s="209" t="s">
        <v>56</v>
      </c>
      <c r="Z23" s="207">
        <v>1.7709999999999999</v>
      </c>
      <c r="AA23" s="190">
        <f>Z23*Y4</f>
        <v>42102.709109999996</v>
      </c>
      <c r="AB23" s="16" t="s">
        <v>140</v>
      </c>
      <c r="AC23" s="245">
        <v>1624</v>
      </c>
      <c r="AD23" s="133">
        <v>0</v>
      </c>
      <c r="AE23" s="134">
        <f>X23+AA23+AC23+AC24+AD23+AD24</f>
        <v>108686.70271</v>
      </c>
      <c r="AF23" s="197">
        <f>U23-AE23</f>
        <v>410897.29729000002</v>
      </c>
      <c r="AG23" s="203">
        <f>SUM(M23)*2.21/100</f>
        <v>11482.806399999999</v>
      </c>
    </row>
    <row r="24" spans="1:33">
      <c r="A24" s="22"/>
      <c r="B24" s="8"/>
      <c r="C24" s="88"/>
      <c r="D24" s="88"/>
      <c r="E24" s="88"/>
      <c r="F24" s="122"/>
      <c r="G24" s="159"/>
      <c r="H24" s="162"/>
      <c r="I24" s="157"/>
      <c r="J24" s="163"/>
      <c r="K24" s="159"/>
      <c r="L24" s="122"/>
      <c r="M24" s="159"/>
      <c r="N24" s="122"/>
      <c r="O24" s="120"/>
      <c r="P24" s="122"/>
      <c r="Q24" s="120"/>
      <c r="R24" s="119"/>
      <c r="S24" s="163"/>
      <c r="T24" s="159"/>
      <c r="U24" s="119"/>
      <c r="V24" s="43"/>
      <c r="W24" s="179"/>
      <c r="X24" s="157"/>
      <c r="Y24" s="43"/>
      <c r="Z24" s="213">
        <v>7.0000000000000007E-2</v>
      </c>
      <c r="AA24" s="106"/>
      <c r="AB24" s="14"/>
      <c r="AC24" s="142">
        <v>0</v>
      </c>
      <c r="AD24" s="141">
        <v>5000</v>
      </c>
      <c r="AE24" s="132"/>
      <c r="AF24" s="142"/>
      <c r="AG24" s="202"/>
    </row>
    <row r="25" spans="1:33">
      <c r="A25" s="19">
        <v>8</v>
      </c>
      <c r="B25" s="28" t="s">
        <v>80</v>
      </c>
      <c r="C25" s="89" t="s">
        <v>81</v>
      </c>
      <c r="D25" s="89" t="s">
        <v>141</v>
      </c>
      <c r="E25" s="89">
        <v>15</v>
      </c>
      <c r="F25" s="123">
        <v>234965</v>
      </c>
      <c r="G25" s="31">
        <f>F25*1</f>
        <v>234965</v>
      </c>
      <c r="H25" s="166"/>
      <c r="I25" s="6">
        <v>33024</v>
      </c>
      <c r="J25" s="172">
        <v>0</v>
      </c>
      <c r="K25" s="170">
        <v>16630</v>
      </c>
      <c r="L25" s="169">
        <v>0</v>
      </c>
      <c r="M25" s="170">
        <f>SUM(F25+G25+H25+I25+J25+K25+L25)</f>
        <v>519584</v>
      </c>
      <c r="N25" s="123">
        <v>5</v>
      </c>
      <c r="O25" s="7">
        <f>F25*2/190*N25*1.25</f>
        <v>15458.223684210525</v>
      </c>
      <c r="P25" s="123">
        <v>11</v>
      </c>
      <c r="Q25" s="7">
        <f>F25*2/190*P25*1.5</f>
        <v>40809.710526315786</v>
      </c>
      <c r="R25" s="6">
        <v>0</v>
      </c>
      <c r="S25" s="167">
        <v>0</v>
      </c>
      <c r="T25" s="168">
        <v>0</v>
      </c>
      <c r="U25" s="169">
        <f>SUM(M25+O25+Q25+S25+T25)</f>
        <v>575851.93421052629</v>
      </c>
      <c r="V25" s="41" t="s">
        <v>53</v>
      </c>
      <c r="W25" s="180">
        <v>0.1236</v>
      </c>
      <c r="X25" s="6">
        <f>M25*W25</f>
        <v>64220.582399999999</v>
      </c>
      <c r="Y25" s="41" t="s">
        <v>54</v>
      </c>
      <c r="Z25" s="187">
        <v>7.0000000000000007E-2</v>
      </c>
      <c r="AA25" s="66">
        <f>M25*Z25</f>
        <v>36370.880000000005</v>
      </c>
      <c r="AB25" s="16"/>
      <c r="AC25" s="135">
        <v>0</v>
      </c>
      <c r="AD25" s="133">
        <v>0</v>
      </c>
      <c r="AE25" s="134">
        <f>X25+AA25+AC25+AC26+AD25+AD26</f>
        <v>105591.4624</v>
      </c>
      <c r="AF25" s="197">
        <f>U25-AE25</f>
        <v>470260.47181052627</v>
      </c>
      <c r="AG25" s="203">
        <f>SUM(M25)*2.21/100</f>
        <v>11482.806399999999</v>
      </c>
    </row>
    <row r="26" spans="1:33">
      <c r="A26" s="22"/>
      <c r="B26" s="8"/>
      <c r="C26" s="88"/>
      <c r="D26" s="88"/>
      <c r="E26" s="88"/>
      <c r="F26" s="122"/>
      <c r="G26" s="159"/>
      <c r="H26" s="162"/>
      <c r="I26" s="93"/>
      <c r="J26" s="174"/>
      <c r="K26" s="120"/>
      <c r="L26" s="119"/>
      <c r="M26" s="120"/>
      <c r="N26" s="122"/>
      <c r="O26" s="120"/>
      <c r="P26" s="122"/>
      <c r="Q26" s="120"/>
      <c r="R26" s="119"/>
      <c r="S26" s="163"/>
      <c r="T26" s="159"/>
      <c r="U26" s="119"/>
      <c r="V26" s="43"/>
      <c r="W26" s="179"/>
      <c r="X26" s="157"/>
      <c r="Y26" s="43"/>
      <c r="Z26" s="191"/>
      <c r="AA26" s="186"/>
      <c r="AB26" s="14"/>
      <c r="AC26" s="142">
        <v>0</v>
      </c>
      <c r="AD26" s="141">
        <v>5000</v>
      </c>
      <c r="AE26" s="132"/>
      <c r="AF26" s="142"/>
      <c r="AG26" s="202"/>
    </row>
    <row r="27" spans="1:33">
      <c r="A27" s="19">
        <v>9</v>
      </c>
      <c r="B27" s="28" t="s">
        <v>19</v>
      </c>
      <c r="C27" s="89" t="s">
        <v>20</v>
      </c>
      <c r="D27" s="89" t="s">
        <v>142</v>
      </c>
      <c r="E27" s="89">
        <v>12</v>
      </c>
      <c r="F27" s="123">
        <v>286831</v>
      </c>
      <c r="G27" s="31">
        <f>F27*1</f>
        <v>286831</v>
      </c>
      <c r="H27" s="166">
        <v>63676</v>
      </c>
      <c r="I27" s="6">
        <v>39543</v>
      </c>
      <c r="J27" s="172">
        <v>0</v>
      </c>
      <c r="K27" s="170">
        <v>16630</v>
      </c>
      <c r="L27" s="169">
        <v>0</v>
      </c>
      <c r="M27" s="170">
        <f>SUM(F27+G27+H27+I27+J27+K27+L27)</f>
        <v>693511</v>
      </c>
      <c r="N27" s="123">
        <v>0</v>
      </c>
      <c r="O27" s="7">
        <f>F27*2/190*N27*1.25</f>
        <v>0</v>
      </c>
      <c r="P27" s="123">
        <v>0</v>
      </c>
      <c r="Q27" s="7">
        <f>F27*2/190*P27*1.5</f>
        <v>0</v>
      </c>
      <c r="R27" s="6">
        <v>1</v>
      </c>
      <c r="S27" s="167">
        <v>1673</v>
      </c>
      <c r="T27" s="168">
        <v>0</v>
      </c>
      <c r="U27" s="169">
        <f>SUM(M27+O27+Q27+S27+T27)</f>
        <v>695184</v>
      </c>
      <c r="V27" s="41" t="s">
        <v>53</v>
      </c>
      <c r="W27" s="180">
        <v>0.1236</v>
      </c>
      <c r="X27" s="95">
        <f>M27*W27</f>
        <v>85717.959600000002</v>
      </c>
      <c r="Y27" s="209" t="s">
        <v>58</v>
      </c>
      <c r="Z27" s="215">
        <v>1.7030000000000001</v>
      </c>
      <c r="AA27" s="190">
        <v>0</v>
      </c>
      <c r="AB27" s="16" t="s">
        <v>153</v>
      </c>
      <c r="AC27" s="135">
        <v>53728</v>
      </c>
      <c r="AD27" s="133">
        <v>5168</v>
      </c>
      <c r="AE27" s="134">
        <f>X27+AA27+AA29+AC27+AC28+AC29+AD27+AD29</f>
        <v>207223.72960000002</v>
      </c>
      <c r="AF27" s="197">
        <f>U27-AE27</f>
        <v>487960.27039999998</v>
      </c>
      <c r="AG27" s="203">
        <f>SUM(M27)*2.21/100</f>
        <v>15326.5931</v>
      </c>
    </row>
    <row r="28" spans="1:33">
      <c r="A28" s="20"/>
      <c r="B28" s="29"/>
      <c r="C28" s="87"/>
      <c r="D28" s="87"/>
      <c r="E28" s="87"/>
      <c r="F28" s="124"/>
      <c r="G28" s="57"/>
      <c r="H28" s="160"/>
      <c r="I28" s="95"/>
      <c r="J28" s="173"/>
      <c r="K28" s="121"/>
      <c r="L28" s="156"/>
      <c r="M28" s="121"/>
      <c r="N28" s="124"/>
      <c r="O28" s="82"/>
      <c r="P28" s="124"/>
      <c r="Q28" s="82"/>
      <c r="R28" s="95"/>
      <c r="S28" s="161"/>
      <c r="T28" s="115"/>
      <c r="U28" s="156"/>
      <c r="V28" s="42"/>
      <c r="W28" s="178"/>
      <c r="X28" s="82"/>
      <c r="Y28" s="212"/>
      <c r="Z28" s="248"/>
      <c r="AA28" s="188"/>
      <c r="AB28" s="12" t="s">
        <v>95</v>
      </c>
      <c r="AC28" s="139">
        <v>2250</v>
      </c>
      <c r="AD28" s="137"/>
      <c r="AE28" s="138"/>
      <c r="AF28" s="197"/>
      <c r="AG28" s="201"/>
    </row>
    <row r="29" spans="1:33">
      <c r="A29" s="20"/>
      <c r="B29" s="29"/>
      <c r="C29" s="87"/>
      <c r="D29" s="87"/>
      <c r="E29" s="87"/>
      <c r="F29" s="124"/>
      <c r="G29" s="161"/>
      <c r="H29" s="160"/>
      <c r="I29" s="95"/>
      <c r="J29" s="173"/>
      <c r="K29" s="121"/>
      <c r="L29" s="156"/>
      <c r="M29" s="119"/>
      <c r="N29" s="124"/>
      <c r="O29" s="121"/>
      <c r="P29" s="124"/>
      <c r="Q29" s="121"/>
      <c r="R29" s="119"/>
      <c r="S29" s="165"/>
      <c r="T29" s="159"/>
      <c r="U29" s="119"/>
      <c r="V29" s="42"/>
      <c r="W29" s="178"/>
      <c r="X29" s="57"/>
      <c r="Y29" s="211"/>
      <c r="Z29" s="185">
        <v>7.0000000000000007E-2</v>
      </c>
      <c r="AA29" s="106">
        <f>M27*Z29</f>
        <v>48545.770000000004</v>
      </c>
      <c r="AB29" s="12" t="s">
        <v>134</v>
      </c>
      <c r="AC29" s="225">
        <v>6814</v>
      </c>
      <c r="AD29" s="137">
        <v>5000</v>
      </c>
      <c r="AE29" s="138"/>
      <c r="AF29" s="139"/>
      <c r="AG29" s="204"/>
    </row>
    <row r="30" spans="1:33">
      <c r="A30" s="19">
        <v>10</v>
      </c>
      <c r="B30" s="28" t="s">
        <v>82</v>
      </c>
      <c r="C30" s="89" t="s">
        <v>74</v>
      </c>
      <c r="D30" s="89" t="s">
        <v>141</v>
      </c>
      <c r="E30" s="89">
        <v>15</v>
      </c>
      <c r="F30" s="123">
        <v>234965</v>
      </c>
      <c r="G30" s="31">
        <f>F30*1</f>
        <v>234965</v>
      </c>
      <c r="H30" s="166"/>
      <c r="I30" s="6">
        <v>33024</v>
      </c>
      <c r="J30" s="172">
        <v>0</v>
      </c>
      <c r="K30" s="170">
        <v>16630</v>
      </c>
      <c r="L30" s="169">
        <v>0</v>
      </c>
      <c r="M30" s="121">
        <f>SUM(F30+G30+H30+I30+J30+K30+L30)</f>
        <v>519584</v>
      </c>
      <c r="N30" s="123">
        <v>0</v>
      </c>
      <c r="O30" s="7">
        <f>F30*2/190*N30*1.25</f>
        <v>0</v>
      </c>
      <c r="P30" s="123">
        <v>0</v>
      </c>
      <c r="Q30" s="7">
        <f>F30*2/190*P30*1.5</f>
        <v>0</v>
      </c>
      <c r="R30" s="95">
        <v>1</v>
      </c>
      <c r="S30" s="161">
        <v>1673</v>
      </c>
      <c r="T30" s="115">
        <v>50000</v>
      </c>
      <c r="U30" s="169">
        <f>SUM(M30+O30+Q30+S30+S31+T30)</f>
        <v>571257</v>
      </c>
      <c r="V30" s="41" t="s">
        <v>99</v>
      </c>
      <c r="W30" s="180">
        <v>0.1077</v>
      </c>
      <c r="X30" s="6">
        <f>M30*W30</f>
        <v>55959.196800000005</v>
      </c>
      <c r="Y30" s="41" t="s">
        <v>54</v>
      </c>
      <c r="Z30" s="185">
        <v>7.0000000000000007E-2</v>
      </c>
      <c r="AA30" s="66">
        <f>M30*Z30</f>
        <v>36370.880000000005</v>
      </c>
      <c r="AB30" s="16" t="s">
        <v>98</v>
      </c>
      <c r="AC30" s="135">
        <v>10175</v>
      </c>
      <c r="AD30" s="133">
        <v>0</v>
      </c>
      <c r="AE30" s="134">
        <f>X30+AA30+AC30+AC31+AD30+AD31</f>
        <v>107505.07680000001</v>
      </c>
      <c r="AF30" s="197">
        <f>U30-AE30</f>
        <v>463751.92319999996</v>
      </c>
      <c r="AG30" s="203">
        <f>SUM(M30)*2.21/100</f>
        <v>11482.806399999999</v>
      </c>
    </row>
    <row r="31" spans="1:33">
      <c r="A31" s="20"/>
      <c r="B31" s="29"/>
      <c r="C31" s="87"/>
      <c r="D31" s="87"/>
      <c r="E31" s="87"/>
      <c r="F31" s="124"/>
      <c r="G31" s="115"/>
      <c r="H31" s="160"/>
      <c r="I31" s="95"/>
      <c r="J31" s="173"/>
      <c r="K31" s="121"/>
      <c r="L31" s="156"/>
      <c r="M31" s="121"/>
      <c r="N31" s="124"/>
      <c r="O31" s="82"/>
      <c r="P31" s="124"/>
      <c r="Q31" s="82"/>
      <c r="R31" s="95"/>
      <c r="S31" s="161"/>
      <c r="T31" s="115"/>
      <c r="U31" s="156"/>
      <c r="V31" s="42"/>
      <c r="W31" s="178"/>
      <c r="X31" s="157"/>
      <c r="Y31" s="42"/>
      <c r="Z31" s="104"/>
      <c r="AA31" s="188"/>
      <c r="AB31" s="12"/>
      <c r="AC31" s="139">
        <v>0</v>
      </c>
      <c r="AD31" s="137">
        <v>5000</v>
      </c>
      <c r="AE31" s="138"/>
      <c r="AF31" s="139"/>
      <c r="AG31" s="201"/>
    </row>
    <row r="32" spans="1:33">
      <c r="A32" s="291">
        <v>11</v>
      </c>
      <c r="B32" s="240" t="s">
        <v>83</v>
      </c>
      <c r="C32" s="256" t="s">
        <v>77</v>
      </c>
      <c r="D32" s="9" t="s">
        <v>145</v>
      </c>
      <c r="E32" s="256">
        <v>15</v>
      </c>
      <c r="F32" s="123">
        <v>185621</v>
      </c>
      <c r="G32" s="31">
        <f>F32*1</f>
        <v>185621</v>
      </c>
      <c r="H32" s="123"/>
      <c r="I32" s="7">
        <v>26007</v>
      </c>
      <c r="J32" s="169">
        <v>0</v>
      </c>
      <c r="K32" s="170">
        <v>16630</v>
      </c>
      <c r="L32" s="169">
        <v>0</v>
      </c>
      <c r="M32" s="170">
        <f>SUM(F32+G32+H32+I32+J32+K32+L32)</f>
        <v>413879</v>
      </c>
      <c r="N32" s="123">
        <v>6</v>
      </c>
      <c r="O32" s="7">
        <f>F32*2/190*N32*1.25</f>
        <v>14654.289473684212</v>
      </c>
      <c r="P32" s="123">
        <v>0</v>
      </c>
      <c r="Q32" s="7">
        <f>F32*2/190*P32*1.5</f>
        <v>0</v>
      </c>
      <c r="R32" s="6">
        <v>0</v>
      </c>
      <c r="S32" s="167">
        <v>0</v>
      </c>
      <c r="T32" s="168">
        <v>0</v>
      </c>
      <c r="U32" s="169">
        <f>SUM(M32+O32+Q32+S32+T32)</f>
        <v>428533.28947368421</v>
      </c>
      <c r="V32" s="41" t="s">
        <v>99</v>
      </c>
      <c r="W32" s="180">
        <v>0.1077</v>
      </c>
      <c r="X32" s="6">
        <f>M32*W32</f>
        <v>44574.768300000003</v>
      </c>
      <c r="Y32" s="41" t="s">
        <v>54</v>
      </c>
      <c r="Z32" s="187">
        <v>7.0000000000000007E-2</v>
      </c>
      <c r="AA32" s="66">
        <f>M32*Z32</f>
        <v>28971.530000000002</v>
      </c>
      <c r="AB32" s="16"/>
      <c r="AC32" s="135">
        <v>0</v>
      </c>
      <c r="AD32" s="133"/>
      <c r="AE32" s="134">
        <f>X32+AA32+AC32+AD32+AD33</f>
        <v>78546.298300000009</v>
      </c>
      <c r="AF32" s="230">
        <f>U32-AE32</f>
        <v>349986.99117368419</v>
      </c>
      <c r="AG32" s="203">
        <f>SUM(M32)*2.21/100</f>
        <v>9146.7258999999995</v>
      </c>
    </row>
    <row r="33" spans="1:34">
      <c r="A33" s="322"/>
      <c r="B33" s="86"/>
      <c r="C33" s="253"/>
      <c r="D33" s="13"/>
      <c r="E33" s="253"/>
      <c r="F33" s="122"/>
      <c r="G33" s="158"/>
      <c r="H33" s="122"/>
      <c r="I33" s="85"/>
      <c r="J33" s="119"/>
      <c r="K33" s="120"/>
      <c r="L33" s="119"/>
      <c r="M33" s="120"/>
      <c r="N33" s="122"/>
      <c r="O33" s="85"/>
      <c r="P33" s="122"/>
      <c r="Q33" s="85"/>
      <c r="R33" s="184"/>
      <c r="S33" s="162"/>
      <c r="T33" s="162"/>
      <c r="U33" s="257"/>
      <c r="V33" s="258"/>
      <c r="W33" s="259"/>
      <c r="X33" s="184"/>
      <c r="Y33" s="258"/>
      <c r="Z33" s="213"/>
      <c r="AA33" s="235"/>
      <c r="AB33" s="46"/>
      <c r="AC33" s="147"/>
      <c r="AD33" s="147">
        <v>5000</v>
      </c>
      <c r="AE33" s="147"/>
      <c r="AF33" s="200"/>
      <c r="AG33" s="321"/>
      <c r="AH33" s="1"/>
    </row>
    <row r="34" spans="1:34">
      <c r="A34" s="22">
        <v>12</v>
      </c>
      <c r="B34" s="252" t="s">
        <v>123</v>
      </c>
      <c r="C34" s="13" t="s">
        <v>122</v>
      </c>
      <c r="D34" s="13" t="s">
        <v>141</v>
      </c>
      <c r="E34" s="13">
        <v>15</v>
      </c>
      <c r="F34" s="122">
        <v>224837</v>
      </c>
      <c r="G34" s="157">
        <f>F34*1</f>
        <v>224837</v>
      </c>
      <c r="H34" s="122">
        <v>0</v>
      </c>
      <c r="I34" s="93">
        <v>33024</v>
      </c>
      <c r="J34" s="119">
        <v>0</v>
      </c>
      <c r="K34" s="119">
        <v>16630</v>
      </c>
      <c r="L34" s="119"/>
      <c r="M34" s="119">
        <f>SUM(F34+G34+H34+I34+J34+K34+L34)</f>
        <v>499328</v>
      </c>
      <c r="N34" s="122">
        <v>2</v>
      </c>
      <c r="O34" s="85">
        <f>F34*2/190*N34*1.25</f>
        <v>5916.7631578947376</v>
      </c>
      <c r="P34" s="122">
        <v>0</v>
      </c>
      <c r="Q34" s="82">
        <f>F34*2/190*P34*1.5</f>
        <v>0</v>
      </c>
      <c r="R34" s="119">
        <v>0</v>
      </c>
      <c r="S34" s="122">
        <v>0</v>
      </c>
      <c r="T34" s="122">
        <v>0</v>
      </c>
      <c r="U34" s="156">
        <f>SUM(M34+O34+Q34+S34+T34)</f>
        <v>505244.76315789472</v>
      </c>
      <c r="V34" s="43" t="s">
        <v>99</v>
      </c>
      <c r="W34" s="179">
        <v>0.1077</v>
      </c>
      <c r="X34" s="95">
        <f>M34*W34</f>
        <v>53777.625599999999</v>
      </c>
      <c r="Y34" s="43" t="s">
        <v>54</v>
      </c>
      <c r="Z34" s="213">
        <v>7.0000000000000007E-2</v>
      </c>
      <c r="AA34" s="105">
        <f>M34*Z34</f>
        <v>34952.960000000006</v>
      </c>
      <c r="AB34" s="14"/>
      <c r="AC34" s="142"/>
      <c r="AD34" s="141">
        <v>0</v>
      </c>
      <c r="AE34" s="138">
        <f>X34+AA34+AC34+AD34</f>
        <v>88730.585600000006</v>
      </c>
      <c r="AF34" s="197">
        <f>U34-AE34</f>
        <v>416514.17755789473</v>
      </c>
      <c r="AG34" s="321">
        <f>SUM(M34)*2.21/100</f>
        <v>11035.148799999999</v>
      </c>
      <c r="AH34" s="1"/>
    </row>
    <row r="35" spans="1:34">
      <c r="A35" s="89">
        <v>13</v>
      </c>
      <c r="B35" s="171" t="s">
        <v>115</v>
      </c>
      <c r="C35" s="256" t="s">
        <v>105</v>
      </c>
      <c r="D35" s="9" t="s">
        <v>143</v>
      </c>
      <c r="E35" s="256">
        <v>15</v>
      </c>
      <c r="F35" s="123">
        <v>869670</v>
      </c>
      <c r="G35" s="31">
        <f>F35*1</f>
        <v>869670</v>
      </c>
      <c r="H35" s="123">
        <v>0</v>
      </c>
      <c r="I35" s="7">
        <v>62585</v>
      </c>
      <c r="J35" s="169">
        <v>0</v>
      </c>
      <c r="K35" s="170">
        <v>16630</v>
      </c>
      <c r="L35" s="169"/>
      <c r="M35" s="170">
        <f>SUM(F35+G35+H35+I35+J35+K35+L35)</f>
        <v>1818555</v>
      </c>
      <c r="N35" s="123">
        <v>0</v>
      </c>
      <c r="O35" s="7">
        <f>F35*2/190*N35*1.25</f>
        <v>0</v>
      </c>
      <c r="P35" s="123">
        <v>0</v>
      </c>
      <c r="Q35" s="7">
        <f>F35*2/190*P35*1.5</f>
        <v>0</v>
      </c>
      <c r="R35" s="169">
        <v>0</v>
      </c>
      <c r="S35" s="168">
        <v>0</v>
      </c>
      <c r="T35" s="123">
        <v>200000</v>
      </c>
      <c r="U35" s="170">
        <f>SUM(M35+O35+Q35+S35+T35)</f>
        <v>2018555</v>
      </c>
      <c r="V35" s="41" t="s">
        <v>60</v>
      </c>
      <c r="W35" s="261">
        <v>0.11269999999999999</v>
      </c>
      <c r="X35" s="6">
        <f>M35*W35</f>
        <v>204951.14849999998</v>
      </c>
      <c r="Y35" s="280" t="s">
        <v>124</v>
      </c>
      <c r="Z35" s="346">
        <v>2.3199999999999998</v>
      </c>
      <c r="AA35" s="281"/>
      <c r="AB35" s="15"/>
      <c r="AC35" s="134">
        <v>0</v>
      </c>
      <c r="AD35" s="135">
        <v>72751</v>
      </c>
      <c r="AE35" s="134">
        <f>X35+AA35+AA36+AC35+AD35</f>
        <v>405000.99849999999</v>
      </c>
      <c r="AF35" s="228">
        <f>U35-AE35</f>
        <v>1613554.0015</v>
      </c>
      <c r="AG35" s="344">
        <f>SUM(M35)*2.21/100</f>
        <v>40190.065499999997</v>
      </c>
    </row>
    <row r="36" spans="1:34">
      <c r="A36" s="88"/>
      <c r="B36" s="157"/>
      <c r="C36" s="253"/>
      <c r="D36" s="13"/>
      <c r="E36" s="253"/>
      <c r="F36" s="122"/>
      <c r="G36" s="158"/>
      <c r="H36" s="122"/>
      <c r="I36" s="85"/>
      <c r="J36" s="119"/>
      <c r="K36" s="120"/>
      <c r="L36" s="119"/>
      <c r="M36" s="120"/>
      <c r="N36" s="122"/>
      <c r="O36" s="85"/>
      <c r="P36" s="122"/>
      <c r="Q36" s="85"/>
      <c r="R36" s="119"/>
      <c r="S36" s="159"/>
      <c r="T36" s="122"/>
      <c r="U36" s="120"/>
      <c r="V36" s="43"/>
      <c r="W36" s="177"/>
      <c r="X36" s="93"/>
      <c r="Y36" s="282"/>
      <c r="Z36" s="347">
        <v>7.0000000000000007E-2</v>
      </c>
      <c r="AA36" s="283">
        <f>M35*Z36</f>
        <v>127298.85</v>
      </c>
      <c r="AB36" s="39"/>
      <c r="AC36" s="132"/>
      <c r="AD36" s="142"/>
      <c r="AE36" s="132"/>
      <c r="AF36" s="140"/>
      <c r="AG36" s="345"/>
    </row>
    <row r="37" spans="1:34">
      <c r="A37" s="22">
        <v>14</v>
      </c>
      <c r="B37" s="86" t="s">
        <v>84</v>
      </c>
      <c r="C37" s="13" t="s">
        <v>121</v>
      </c>
      <c r="D37" s="13" t="s">
        <v>143</v>
      </c>
      <c r="E37" s="13">
        <v>15</v>
      </c>
      <c r="F37" s="122">
        <v>469597</v>
      </c>
      <c r="G37" s="157">
        <f>F37*1</f>
        <v>469597</v>
      </c>
      <c r="H37" s="122"/>
      <c r="I37" s="93">
        <v>62585</v>
      </c>
      <c r="J37" s="119">
        <v>0</v>
      </c>
      <c r="K37" s="119">
        <v>16630</v>
      </c>
      <c r="L37" s="119">
        <v>89184</v>
      </c>
      <c r="M37" s="119">
        <f>SUM(F37+G37+H37+I37+J37+K37+L37)</f>
        <v>1107593</v>
      </c>
      <c r="N37" s="122">
        <v>0</v>
      </c>
      <c r="O37" s="93">
        <f>F37*2/190*N37*1.25</f>
        <v>0</v>
      </c>
      <c r="P37" s="122">
        <v>0</v>
      </c>
      <c r="Q37" s="93">
        <f>F37*2/190*P37*1.5</f>
        <v>0</v>
      </c>
      <c r="R37" s="93">
        <v>0</v>
      </c>
      <c r="S37" s="122">
        <v>0</v>
      </c>
      <c r="T37" s="122">
        <v>0</v>
      </c>
      <c r="U37" s="156">
        <f>SUM(M37+O37+Q37+S37+T37)</f>
        <v>1107593</v>
      </c>
      <c r="V37" s="43" t="s">
        <v>99</v>
      </c>
      <c r="W37" s="179">
        <v>0.1077</v>
      </c>
      <c r="X37" s="93">
        <f>M37*W37</f>
        <v>119287.76610000001</v>
      </c>
      <c r="Y37" s="43" t="s">
        <v>54</v>
      </c>
      <c r="Z37" s="213">
        <v>7.0000000000000007E-2</v>
      </c>
      <c r="AA37" s="105">
        <f>M37*Z37</f>
        <v>77531.510000000009</v>
      </c>
      <c r="AB37" s="14"/>
      <c r="AC37" s="142">
        <v>0</v>
      </c>
      <c r="AD37" s="141">
        <v>21731</v>
      </c>
      <c r="AE37" s="138">
        <f>X37+AA37+AC37+AD37</f>
        <v>218550.27610000002</v>
      </c>
      <c r="AF37" s="140">
        <f>U37-AE37</f>
        <v>889042.72389999998</v>
      </c>
      <c r="AG37" s="321">
        <f>SUM(M37)*2.21/100</f>
        <v>24477.805299999996</v>
      </c>
      <c r="AH37" s="1"/>
    </row>
    <row r="38" spans="1:34">
      <c r="A38" s="19">
        <v>15</v>
      </c>
      <c r="B38" s="28" t="s">
        <v>23</v>
      </c>
      <c r="C38" s="89" t="s">
        <v>24</v>
      </c>
      <c r="D38" s="89" t="s">
        <v>145</v>
      </c>
      <c r="E38" s="89">
        <v>13</v>
      </c>
      <c r="F38" s="123">
        <v>218766</v>
      </c>
      <c r="G38" s="31">
        <f>F38*1</f>
        <v>218766</v>
      </c>
      <c r="H38" s="166">
        <v>59942</v>
      </c>
      <c r="I38" s="6">
        <v>30280</v>
      </c>
      <c r="J38" s="172">
        <v>0</v>
      </c>
      <c r="K38" s="170">
        <v>16630</v>
      </c>
      <c r="L38" s="169">
        <v>181642</v>
      </c>
      <c r="M38" s="170">
        <f>SUM(F38+G38+H38+I38+J38+K38+L38)</f>
        <v>726026</v>
      </c>
      <c r="N38" s="123">
        <v>31</v>
      </c>
      <c r="O38" s="7">
        <f>F38*2/190*N38*1.25</f>
        <v>89233.5</v>
      </c>
      <c r="P38" s="123">
        <v>25</v>
      </c>
      <c r="Q38" s="7">
        <f>F38*2/190*P38*1.5</f>
        <v>86355.000000000015</v>
      </c>
      <c r="R38" s="6">
        <v>1</v>
      </c>
      <c r="S38" s="167">
        <v>0</v>
      </c>
      <c r="T38" s="168">
        <v>0</v>
      </c>
      <c r="U38" s="169">
        <f>SUM(M38+O38+Q38)</f>
        <v>901614.5</v>
      </c>
      <c r="V38" s="41" t="s">
        <v>57</v>
      </c>
      <c r="W38" s="180">
        <v>0.1144</v>
      </c>
      <c r="X38" s="6">
        <f>M38*W38</f>
        <v>83057.374400000001</v>
      </c>
      <c r="Y38" s="41" t="s">
        <v>54</v>
      </c>
      <c r="Z38" s="193">
        <v>7.0000000000000007E-2</v>
      </c>
      <c r="AA38" s="66">
        <f>M38*Z38</f>
        <v>50821.820000000007</v>
      </c>
      <c r="AB38" s="16" t="s">
        <v>95</v>
      </c>
      <c r="AC38" s="135">
        <v>2250</v>
      </c>
      <c r="AD38" s="133">
        <v>6469</v>
      </c>
      <c r="AE38" s="134">
        <f>X38+AA38+AC38+AC39+AC40+AD38+AD39+AD40</f>
        <v>150690.19440000001</v>
      </c>
      <c r="AF38" s="228">
        <f>U38-AE38</f>
        <v>750924.30559999996</v>
      </c>
      <c r="AG38" s="203">
        <f>SUM(M38)*2.21/100</f>
        <v>16045.1746</v>
      </c>
    </row>
    <row r="39" spans="1:34">
      <c r="A39" s="20"/>
      <c r="B39" s="29"/>
      <c r="C39" s="87"/>
      <c r="D39" s="87"/>
      <c r="E39" s="87"/>
      <c r="F39" s="124"/>
      <c r="G39" s="161"/>
      <c r="H39" s="160"/>
      <c r="I39" s="95"/>
      <c r="J39" s="173"/>
      <c r="K39" s="121"/>
      <c r="L39" s="156"/>
      <c r="M39" s="121"/>
      <c r="N39" s="124"/>
      <c r="O39" s="121"/>
      <c r="P39" s="124"/>
      <c r="Q39" s="121"/>
      <c r="R39" s="156"/>
      <c r="S39" s="161"/>
      <c r="T39" s="115"/>
      <c r="U39" s="156"/>
      <c r="V39" s="42"/>
      <c r="W39" s="178"/>
      <c r="X39" s="114"/>
      <c r="Y39" s="42"/>
      <c r="Z39" s="82"/>
      <c r="AA39" s="188"/>
      <c r="AB39" s="12" t="s">
        <v>100</v>
      </c>
      <c r="AC39" s="139">
        <v>1092</v>
      </c>
      <c r="AD39" s="137">
        <v>5000</v>
      </c>
      <c r="AE39" s="138"/>
      <c r="AF39" s="139"/>
      <c r="AG39" s="204"/>
    </row>
    <row r="40" spans="1:34">
      <c r="A40" s="20"/>
      <c r="B40" s="29"/>
      <c r="C40" s="87"/>
      <c r="D40" s="87"/>
      <c r="E40" s="87"/>
      <c r="F40" s="124"/>
      <c r="G40" s="161"/>
      <c r="H40" s="160"/>
      <c r="I40" s="95"/>
      <c r="J40" s="173"/>
      <c r="K40" s="121"/>
      <c r="L40" s="156"/>
      <c r="M40" s="121"/>
      <c r="N40" s="124"/>
      <c r="O40" s="121"/>
      <c r="P40" s="124"/>
      <c r="Q40" s="121"/>
      <c r="R40" s="156"/>
      <c r="S40" s="161"/>
      <c r="T40" s="115"/>
      <c r="U40" s="156"/>
      <c r="V40" s="42"/>
      <c r="W40" s="178"/>
      <c r="X40" s="114"/>
      <c r="Y40" s="42"/>
      <c r="Z40" s="82"/>
      <c r="AA40" s="188"/>
      <c r="AB40" s="12" t="s">
        <v>101</v>
      </c>
      <c r="AC40" s="139">
        <v>2000</v>
      </c>
      <c r="AD40" s="137"/>
      <c r="AE40" s="138"/>
      <c r="AF40" s="139"/>
      <c r="AG40" s="204"/>
    </row>
    <row r="41" spans="1:34">
      <c r="A41" s="291">
        <v>16</v>
      </c>
      <c r="B41" s="240" t="s">
        <v>25</v>
      </c>
      <c r="C41" s="256" t="s">
        <v>110</v>
      </c>
      <c r="D41" s="9" t="s">
        <v>144</v>
      </c>
      <c r="E41" s="256">
        <v>13</v>
      </c>
      <c r="F41" s="123">
        <v>247843</v>
      </c>
      <c r="G41" s="31">
        <f>F41*1</f>
        <v>247843</v>
      </c>
      <c r="H41" s="123"/>
      <c r="I41" s="7">
        <v>34339</v>
      </c>
      <c r="J41" s="169">
        <v>0</v>
      </c>
      <c r="K41" s="170">
        <v>16630</v>
      </c>
      <c r="L41" s="169">
        <v>80000</v>
      </c>
      <c r="M41" s="170">
        <f>SUM(F41+G41+H41+I41+J41+K41+L41)</f>
        <v>626655</v>
      </c>
      <c r="N41" s="123">
        <v>15</v>
      </c>
      <c r="O41" s="7">
        <f>F41*2/190*N41*1.25</f>
        <v>48916.381578947367</v>
      </c>
      <c r="P41" s="123">
        <v>0</v>
      </c>
      <c r="Q41" s="7">
        <f>F41*2/190*P41*1.5</f>
        <v>0</v>
      </c>
      <c r="R41" s="6">
        <v>0</v>
      </c>
      <c r="S41" s="168">
        <v>0</v>
      </c>
      <c r="T41" s="123">
        <v>0</v>
      </c>
      <c r="U41" s="170">
        <f>SUM(M41+O41+Q41)</f>
        <v>675571.38157894742</v>
      </c>
      <c r="V41" s="41" t="s">
        <v>53</v>
      </c>
      <c r="W41" s="261">
        <v>0.1236</v>
      </c>
      <c r="X41" s="6">
        <f>M41*W41</f>
        <v>77454.558000000005</v>
      </c>
      <c r="Y41" s="260" t="s">
        <v>54</v>
      </c>
      <c r="Z41" s="195">
        <v>7.0000000000000007E-2</v>
      </c>
      <c r="AA41" s="262">
        <f>M41*Z41</f>
        <v>43865.850000000006</v>
      </c>
      <c r="AB41" s="15" t="s">
        <v>95</v>
      </c>
      <c r="AC41" s="134">
        <v>2250</v>
      </c>
      <c r="AD41" s="135">
        <v>2494</v>
      </c>
      <c r="AE41" s="134">
        <f>X41+AA41+AC41+AD41+AD42</f>
        <v>131064.40800000001</v>
      </c>
      <c r="AF41" s="228">
        <f>U41-AE41</f>
        <v>544506.97357894736</v>
      </c>
      <c r="AG41" s="323">
        <f>SUM(M41)*2.21/100</f>
        <v>13849.075500000001</v>
      </c>
    </row>
    <row r="42" spans="1:34">
      <c r="A42" s="322"/>
      <c r="B42" s="86"/>
      <c r="C42" s="253"/>
      <c r="D42" s="13"/>
      <c r="E42" s="253"/>
      <c r="F42" s="122"/>
      <c r="G42" s="158"/>
      <c r="H42" s="122"/>
      <c r="I42" s="85"/>
      <c r="J42" s="119"/>
      <c r="K42" s="120"/>
      <c r="L42" s="119"/>
      <c r="M42" s="120"/>
      <c r="N42" s="122"/>
      <c r="O42" s="85"/>
      <c r="P42" s="122"/>
      <c r="Q42" s="85"/>
      <c r="R42" s="93"/>
      <c r="S42" s="159"/>
      <c r="T42" s="122"/>
      <c r="U42" s="120"/>
      <c r="V42" s="43"/>
      <c r="W42" s="177"/>
      <c r="X42" s="93"/>
      <c r="Y42" s="254"/>
      <c r="Z42" s="263"/>
      <c r="AA42" s="255"/>
      <c r="AB42" s="39"/>
      <c r="AC42" s="132"/>
      <c r="AD42" s="142">
        <v>5000</v>
      </c>
      <c r="AE42" s="132"/>
      <c r="AF42" s="140"/>
      <c r="AG42" s="324"/>
    </row>
    <row r="43" spans="1:34">
      <c r="A43" s="20">
        <v>17</v>
      </c>
      <c r="B43" s="94" t="s">
        <v>85</v>
      </c>
      <c r="C43" s="11" t="s">
        <v>146</v>
      </c>
      <c r="D43" s="11" t="s">
        <v>141</v>
      </c>
      <c r="E43" s="11">
        <v>15</v>
      </c>
      <c r="F43" s="124">
        <v>234965</v>
      </c>
      <c r="G43" s="114">
        <f>F43*1</f>
        <v>234965</v>
      </c>
      <c r="H43" s="124"/>
      <c r="I43" s="95">
        <v>33024</v>
      </c>
      <c r="J43" s="156">
        <v>0</v>
      </c>
      <c r="K43" s="156">
        <v>16630</v>
      </c>
      <c r="L43" s="156">
        <v>0</v>
      </c>
      <c r="M43" s="156">
        <f>SUM(F43+G43+H43+I43+J43+K43+L43)</f>
        <v>519584</v>
      </c>
      <c r="N43" s="124">
        <v>0</v>
      </c>
      <c r="O43" s="95">
        <f>F43*2/190*N43*1.25</f>
        <v>0</v>
      </c>
      <c r="P43" s="124">
        <v>0</v>
      </c>
      <c r="Q43" s="95">
        <f>F43*2/190*P43*1.5</f>
        <v>0</v>
      </c>
      <c r="R43" s="95">
        <v>0</v>
      </c>
      <c r="S43" s="124">
        <v>0</v>
      </c>
      <c r="T43" s="124">
        <v>0</v>
      </c>
      <c r="U43" s="156">
        <f>SUM(M43+O43+Q43+S43+T43)</f>
        <v>519584</v>
      </c>
      <c r="V43" s="42" t="s">
        <v>60</v>
      </c>
      <c r="W43" s="178">
        <v>0.11269999999999999</v>
      </c>
      <c r="X43" s="95">
        <f>M43*W43</f>
        <v>58557.116799999996</v>
      </c>
      <c r="Y43" s="42" t="s">
        <v>54</v>
      </c>
      <c r="Z43" s="194">
        <v>7.0000000000000007E-2</v>
      </c>
      <c r="AA43" s="105">
        <f>M43*Z43</f>
        <v>36370.880000000005</v>
      </c>
      <c r="AB43" s="38"/>
      <c r="AC43" s="139">
        <v>0</v>
      </c>
      <c r="AD43" s="139">
        <v>0</v>
      </c>
      <c r="AE43" s="138">
        <f>X43+AA43+AC43+AD43+AD44</f>
        <v>99927.996799999994</v>
      </c>
      <c r="AF43" s="197">
        <f>U43-AE43</f>
        <v>419656.00320000004</v>
      </c>
      <c r="AG43" s="203">
        <f>SUM(M43)*2.21/100</f>
        <v>11482.806399999999</v>
      </c>
    </row>
    <row r="44" spans="1:34">
      <c r="A44" s="101"/>
      <c r="B44" s="247"/>
      <c r="C44" s="87"/>
      <c r="D44" s="87"/>
      <c r="E44" s="87"/>
      <c r="F44" s="160"/>
      <c r="G44" s="248"/>
      <c r="H44" s="160"/>
      <c r="I44" s="104"/>
      <c r="J44" s="249"/>
      <c r="K44" s="249"/>
      <c r="L44" s="249"/>
      <c r="M44" s="249"/>
      <c r="N44" s="160"/>
      <c r="O44" s="105"/>
      <c r="P44" s="160"/>
      <c r="Q44" s="104"/>
      <c r="R44" s="104"/>
      <c r="S44" s="160"/>
      <c r="T44" s="160"/>
      <c r="U44" s="249"/>
      <c r="V44" s="42"/>
      <c r="W44" s="250"/>
      <c r="X44" s="104"/>
      <c r="Y44" s="251"/>
      <c r="Z44" s="185"/>
      <c r="AA44" s="232"/>
      <c r="AB44" s="45"/>
      <c r="AC44" s="146"/>
      <c r="AD44" s="146">
        <v>5000</v>
      </c>
      <c r="AE44" s="146"/>
      <c r="AF44" s="197"/>
      <c r="AG44" s="321"/>
    </row>
    <row r="45" spans="1:34">
      <c r="A45" s="20">
        <v>18</v>
      </c>
      <c r="B45" s="29" t="s">
        <v>27</v>
      </c>
      <c r="C45" s="87" t="s">
        <v>28</v>
      </c>
      <c r="D45" s="87" t="s">
        <v>143</v>
      </c>
      <c r="E45" s="87">
        <v>13</v>
      </c>
      <c r="F45" s="124">
        <v>553453</v>
      </c>
      <c r="G45" s="57">
        <f>F45*1</f>
        <v>553453</v>
      </c>
      <c r="H45" s="160"/>
      <c r="I45" s="95">
        <v>68173</v>
      </c>
      <c r="J45" s="173">
        <v>0</v>
      </c>
      <c r="K45" s="121">
        <v>16630</v>
      </c>
      <c r="L45" s="156">
        <v>117050</v>
      </c>
      <c r="M45" s="121">
        <f>SUM(F45+G45+H45+I45+J45+K45+L45)</f>
        <v>1308759</v>
      </c>
      <c r="N45" s="124">
        <v>0</v>
      </c>
      <c r="O45" s="82">
        <f>F45*2/190*N45*1.25</f>
        <v>0</v>
      </c>
      <c r="P45" s="124">
        <v>0</v>
      </c>
      <c r="Q45" s="7">
        <f>F45*2/190*P45*1.5</f>
        <v>0</v>
      </c>
      <c r="R45" s="95">
        <v>0</v>
      </c>
      <c r="S45" s="161">
        <v>0</v>
      </c>
      <c r="T45" s="115">
        <v>0</v>
      </c>
      <c r="U45" s="169">
        <f>SUM(M45+O45+Q45+S45+T45)</f>
        <v>1308759</v>
      </c>
      <c r="V45" s="41" t="s">
        <v>53</v>
      </c>
      <c r="W45" s="180">
        <v>0.1236</v>
      </c>
      <c r="X45" s="95">
        <f>M45*W45</f>
        <v>161762.61240000001</v>
      </c>
      <c r="Y45" s="41" t="s">
        <v>54</v>
      </c>
      <c r="Z45" s="195">
        <v>7.0000000000000007E-2</v>
      </c>
      <c r="AA45" s="66">
        <f>M45*Z45</f>
        <v>91613.13</v>
      </c>
      <c r="AB45" s="44" t="s">
        <v>95</v>
      </c>
      <c r="AC45" s="135">
        <v>2250</v>
      </c>
      <c r="AD45" s="133">
        <v>31967</v>
      </c>
      <c r="AE45" s="134">
        <f>X45+AA45+AC45+AC46+AC47+AC48+AC49+AC50+ AC51+AD45+AD50+AD51</f>
        <v>466469.74239999999</v>
      </c>
      <c r="AF45" s="228">
        <f>U45-AE45</f>
        <v>842289.25760000001</v>
      </c>
      <c r="AG45" s="203">
        <f>SUM(M45)*2.21/100</f>
        <v>28923.573900000003</v>
      </c>
    </row>
    <row r="46" spans="1:34">
      <c r="A46" s="20"/>
      <c r="B46" s="29"/>
      <c r="C46" s="87"/>
      <c r="D46" s="87"/>
      <c r="E46" s="87"/>
      <c r="F46" s="124"/>
      <c r="G46" s="57"/>
      <c r="H46" s="160"/>
      <c r="I46" s="95"/>
      <c r="J46" s="173"/>
      <c r="K46" s="121"/>
      <c r="L46" s="156"/>
      <c r="M46" s="121"/>
      <c r="N46" s="124"/>
      <c r="O46" s="82"/>
      <c r="P46" s="124"/>
      <c r="Q46" s="82"/>
      <c r="R46" s="95"/>
      <c r="S46" s="161"/>
      <c r="T46" s="115"/>
      <c r="U46" s="156"/>
      <c r="V46" s="42"/>
      <c r="W46" s="178"/>
      <c r="X46" s="82"/>
      <c r="Y46" s="42"/>
      <c r="Z46" s="196"/>
      <c r="AA46" s="105"/>
      <c r="AB46" s="45" t="s">
        <v>155</v>
      </c>
      <c r="AC46" s="139">
        <v>59173</v>
      </c>
      <c r="AD46" s="137"/>
      <c r="AE46" s="138"/>
      <c r="AF46" s="118"/>
      <c r="AG46" s="201"/>
    </row>
    <row r="47" spans="1:34">
      <c r="A47" s="20"/>
      <c r="B47" s="29"/>
      <c r="C47" s="87"/>
      <c r="D47" s="87"/>
      <c r="E47" s="87"/>
      <c r="F47" s="124"/>
      <c r="G47" s="57"/>
      <c r="H47" s="160"/>
      <c r="I47" s="95"/>
      <c r="J47" s="173"/>
      <c r="K47" s="121"/>
      <c r="L47" s="156"/>
      <c r="M47" s="121"/>
      <c r="N47" s="124"/>
      <c r="O47" s="82"/>
      <c r="P47" s="124"/>
      <c r="Q47" s="82"/>
      <c r="R47" s="95"/>
      <c r="S47" s="161"/>
      <c r="T47" s="115"/>
      <c r="U47" s="156"/>
      <c r="V47" s="42"/>
      <c r="W47" s="178"/>
      <c r="X47" s="82"/>
      <c r="Y47" s="42"/>
      <c r="Z47" s="196"/>
      <c r="AA47" s="105"/>
      <c r="AB47" s="45" t="s">
        <v>156</v>
      </c>
      <c r="AC47" s="139">
        <v>32561</v>
      </c>
      <c r="AD47" s="137"/>
      <c r="AE47" s="138"/>
      <c r="AF47" s="118"/>
      <c r="AG47" s="201"/>
    </row>
    <row r="48" spans="1:34">
      <c r="A48" s="20"/>
      <c r="B48" s="29"/>
      <c r="C48" s="87"/>
      <c r="D48" s="87"/>
      <c r="E48" s="87"/>
      <c r="F48" s="124"/>
      <c r="G48" s="57"/>
      <c r="H48" s="160"/>
      <c r="I48" s="95"/>
      <c r="J48" s="173"/>
      <c r="K48" s="121"/>
      <c r="L48" s="156"/>
      <c r="M48" s="121"/>
      <c r="N48" s="124"/>
      <c r="O48" s="82"/>
      <c r="P48" s="124"/>
      <c r="Q48" s="82"/>
      <c r="R48" s="95"/>
      <c r="S48" s="161"/>
      <c r="T48" s="115"/>
      <c r="U48" s="156"/>
      <c r="V48" s="42"/>
      <c r="W48" s="178"/>
      <c r="X48" s="82"/>
      <c r="Y48" s="42"/>
      <c r="Z48" s="196"/>
      <c r="AA48" s="105"/>
      <c r="AB48" s="45" t="s">
        <v>157</v>
      </c>
      <c r="AC48" s="139">
        <v>7427</v>
      </c>
      <c r="AD48" s="137"/>
      <c r="AE48" s="138"/>
      <c r="AF48" s="118"/>
      <c r="AG48" s="201"/>
    </row>
    <row r="49" spans="1:33">
      <c r="A49" s="20"/>
      <c r="B49" s="29"/>
      <c r="C49" s="87"/>
      <c r="D49" s="87"/>
      <c r="E49" s="87"/>
      <c r="F49" s="124"/>
      <c r="G49" s="57"/>
      <c r="H49" s="160"/>
      <c r="I49" s="95"/>
      <c r="J49" s="173"/>
      <c r="K49" s="121"/>
      <c r="L49" s="156"/>
      <c r="M49" s="121"/>
      <c r="N49" s="124"/>
      <c r="O49" s="82"/>
      <c r="P49" s="124"/>
      <c r="Q49" s="82"/>
      <c r="R49" s="95"/>
      <c r="S49" s="161"/>
      <c r="T49" s="115"/>
      <c r="U49" s="156"/>
      <c r="V49" s="42"/>
      <c r="W49" s="178"/>
      <c r="X49" s="82"/>
      <c r="Y49" s="42"/>
      <c r="Z49" s="196"/>
      <c r="AA49" s="105"/>
      <c r="AB49" s="45" t="s">
        <v>155</v>
      </c>
      <c r="AC49" s="139">
        <v>59594</v>
      </c>
      <c r="AD49" s="137"/>
      <c r="AE49" s="138"/>
      <c r="AF49" s="118"/>
      <c r="AG49" s="201"/>
    </row>
    <row r="50" spans="1:33">
      <c r="A50" s="20"/>
      <c r="B50" s="29"/>
      <c r="C50" s="87"/>
      <c r="D50" s="87"/>
      <c r="E50" s="87"/>
      <c r="F50" s="124"/>
      <c r="G50" s="115"/>
      <c r="H50" s="160"/>
      <c r="I50" s="95"/>
      <c r="J50" s="173"/>
      <c r="K50" s="121"/>
      <c r="L50" s="156"/>
      <c r="M50" s="121"/>
      <c r="N50" s="124"/>
      <c r="O50" s="121"/>
      <c r="P50" s="175"/>
      <c r="Q50" s="121"/>
      <c r="R50" s="156"/>
      <c r="S50" s="161"/>
      <c r="T50" s="115"/>
      <c r="U50" s="156"/>
      <c r="V50" s="42"/>
      <c r="W50" s="178"/>
      <c r="X50" s="57"/>
      <c r="Y50" s="42"/>
      <c r="Z50" s="82"/>
      <c r="AA50" s="188"/>
      <c r="AB50" s="45" t="s">
        <v>135</v>
      </c>
      <c r="AC50" s="139">
        <v>10622</v>
      </c>
      <c r="AD50" s="137">
        <v>5000</v>
      </c>
      <c r="AE50" s="138"/>
      <c r="AF50" s="139"/>
      <c r="AG50" s="204"/>
    </row>
    <row r="51" spans="1:33">
      <c r="A51" s="20"/>
      <c r="B51" s="29"/>
      <c r="C51" s="87"/>
      <c r="D51" s="87"/>
      <c r="E51" s="87"/>
      <c r="F51" s="124"/>
      <c r="G51" s="115"/>
      <c r="H51" s="160"/>
      <c r="I51" s="95"/>
      <c r="J51" s="173"/>
      <c r="K51" s="121"/>
      <c r="L51" s="156"/>
      <c r="M51" s="121"/>
      <c r="N51" s="124"/>
      <c r="O51" s="121"/>
      <c r="P51" s="175"/>
      <c r="Q51" s="121"/>
      <c r="R51" s="156"/>
      <c r="S51" s="161"/>
      <c r="T51" s="115"/>
      <c r="U51" s="156"/>
      <c r="V51" s="42"/>
      <c r="W51" s="178"/>
      <c r="X51" s="57"/>
      <c r="Y51" s="42"/>
      <c r="Z51" s="82"/>
      <c r="AA51" s="188"/>
      <c r="AB51" s="12" t="s">
        <v>148</v>
      </c>
      <c r="AC51" s="139">
        <v>4500</v>
      </c>
      <c r="AD51" s="137"/>
      <c r="AE51" s="138"/>
      <c r="AF51" s="139"/>
      <c r="AG51" s="204"/>
    </row>
    <row r="52" spans="1:33">
      <c r="A52" s="19">
        <v>19</v>
      </c>
      <c r="B52" s="28" t="s">
        <v>29</v>
      </c>
      <c r="C52" s="89" t="s">
        <v>30</v>
      </c>
      <c r="D52" s="89" t="s">
        <v>141</v>
      </c>
      <c r="E52" s="89">
        <v>15</v>
      </c>
      <c r="F52" s="123">
        <v>234965</v>
      </c>
      <c r="G52" s="31">
        <f>F52*1</f>
        <v>234965</v>
      </c>
      <c r="H52" s="166"/>
      <c r="I52" s="6">
        <v>33024</v>
      </c>
      <c r="J52" s="172">
        <v>0</v>
      </c>
      <c r="K52" s="170">
        <v>16630</v>
      </c>
      <c r="L52" s="169">
        <v>95101</v>
      </c>
      <c r="M52" s="170">
        <f>SUM(F52+G52+H52+I52+J52+K52+L52)</f>
        <v>614685</v>
      </c>
      <c r="N52" s="123">
        <v>2</v>
      </c>
      <c r="O52" s="7">
        <f>F52*2/190*N52*1.25</f>
        <v>6183.28947368421</v>
      </c>
      <c r="P52" s="123">
        <v>2</v>
      </c>
      <c r="Q52" s="7">
        <f>F52*2/190*P52*1.5</f>
        <v>7419.9473684210525</v>
      </c>
      <c r="R52" s="6">
        <v>0</v>
      </c>
      <c r="S52" s="167">
        <v>0</v>
      </c>
      <c r="T52" s="168">
        <v>0</v>
      </c>
      <c r="U52" s="169">
        <f>SUM(M52+O52+Q52+S52+T52)</f>
        <v>628288.23684210517</v>
      </c>
      <c r="V52" s="41" t="s">
        <v>57</v>
      </c>
      <c r="W52" s="180">
        <v>0.1144</v>
      </c>
      <c r="X52" s="6">
        <f>M52*W52</f>
        <v>70319.964000000007</v>
      </c>
      <c r="Y52" s="209" t="s">
        <v>59</v>
      </c>
      <c r="Z52" s="205">
        <v>1.329</v>
      </c>
      <c r="AA52" s="190">
        <v>0</v>
      </c>
      <c r="AB52" s="16" t="s">
        <v>140</v>
      </c>
      <c r="AC52" s="245">
        <v>15467</v>
      </c>
      <c r="AD52" s="133">
        <v>2015</v>
      </c>
      <c r="AE52" s="134">
        <f>X52+AA52+AA53+AC52+AC53+AD52+AD53</f>
        <v>140829.91400000002</v>
      </c>
      <c r="AF52" s="228">
        <f>U52-AE52</f>
        <v>487458.32284210518</v>
      </c>
      <c r="AG52" s="203">
        <f>SUM(M52)*2.21/100</f>
        <v>13584.538500000001</v>
      </c>
    </row>
    <row r="53" spans="1:33">
      <c r="A53" s="22"/>
      <c r="B53" s="8"/>
      <c r="C53" s="88"/>
      <c r="D53" s="88"/>
      <c r="E53" s="88"/>
      <c r="F53" s="122"/>
      <c r="G53" s="163"/>
      <c r="H53" s="162"/>
      <c r="I53" s="93"/>
      <c r="J53" s="174"/>
      <c r="K53" s="120"/>
      <c r="L53" s="119"/>
      <c r="M53" s="120"/>
      <c r="N53" s="122"/>
      <c r="O53" s="120"/>
      <c r="P53" s="164"/>
      <c r="Q53" s="120"/>
      <c r="R53" s="119"/>
      <c r="S53" s="163"/>
      <c r="T53" s="159"/>
      <c r="U53" s="119"/>
      <c r="V53" s="43"/>
      <c r="W53" s="179"/>
      <c r="X53" s="157"/>
      <c r="Y53" s="43"/>
      <c r="Z53" s="216">
        <v>7.0000000000000007E-2</v>
      </c>
      <c r="AA53" s="106">
        <f>M52*Z53</f>
        <v>43027.950000000004</v>
      </c>
      <c r="AB53" s="14"/>
      <c r="AC53" s="142">
        <v>0</v>
      </c>
      <c r="AD53" s="141">
        <v>10000</v>
      </c>
      <c r="AE53" s="132"/>
      <c r="AF53" s="142"/>
      <c r="AG53" s="202"/>
    </row>
    <row r="54" spans="1:33">
      <c r="A54" s="20">
        <v>20</v>
      </c>
      <c r="B54" s="29" t="s">
        <v>31</v>
      </c>
      <c r="C54" s="87" t="s">
        <v>32</v>
      </c>
      <c r="D54" s="87" t="s">
        <v>141</v>
      </c>
      <c r="E54" s="87">
        <v>12</v>
      </c>
      <c r="F54" s="124">
        <v>297902</v>
      </c>
      <c r="G54" s="31">
        <f>F54*1</f>
        <v>297902</v>
      </c>
      <c r="H54" s="160">
        <v>26454</v>
      </c>
      <c r="I54" s="6">
        <v>41162</v>
      </c>
      <c r="J54" s="173">
        <v>0</v>
      </c>
      <c r="K54" s="121">
        <v>16630</v>
      </c>
      <c r="L54" s="156">
        <v>0</v>
      </c>
      <c r="M54" s="121">
        <f>SUM(F54+G54+H54+I54+J54+K54+L54)</f>
        <v>680050</v>
      </c>
      <c r="N54" s="124">
        <v>11</v>
      </c>
      <c r="O54" s="7">
        <f>F54*2/190*N54*1.25</f>
        <v>43117.394736842107</v>
      </c>
      <c r="P54" s="124">
        <v>0</v>
      </c>
      <c r="Q54" s="7">
        <f>F54*2/190*P54*1.5</f>
        <v>0</v>
      </c>
      <c r="R54" s="156">
        <v>0</v>
      </c>
      <c r="S54" s="161">
        <v>0</v>
      </c>
      <c r="T54" s="115">
        <v>0</v>
      </c>
      <c r="U54" s="169">
        <f>SUM(M54+O54+Q54+S54+T54)</f>
        <v>723167.39473684214</v>
      </c>
      <c r="V54" s="67" t="s">
        <v>55</v>
      </c>
      <c r="W54" s="181">
        <v>0.1154</v>
      </c>
      <c r="X54" s="95">
        <f>M54*W54</f>
        <v>78477.77</v>
      </c>
      <c r="Y54" s="212" t="s">
        <v>58</v>
      </c>
      <c r="Z54" s="206">
        <v>1.7969999999999999</v>
      </c>
      <c r="AA54" s="188">
        <v>0</v>
      </c>
      <c r="AB54" s="12" t="s">
        <v>148</v>
      </c>
      <c r="AC54" s="139">
        <v>9000</v>
      </c>
      <c r="AD54" s="137">
        <v>4629</v>
      </c>
      <c r="AE54" s="134">
        <f>X54+AA54+AA55+AC54+AC55+AD54+AD55</f>
        <v>147477.27000000002</v>
      </c>
      <c r="AF54" s="197">
        <f>U54-AE54</f>
        <v>575690.12473684212</v>
      </c>
      <c r="AG54" s="203">
        <f>SUM(M54)*2.21/100</f>
        <v>15029.105</v>
      </c>
    </row>
    <row r="55" spans="1:33">
      <c r="A55" s="20"/>
      <c r="B55" s="29"/>
      <c r="C55" s="87"/>
      <c r="D55" s="87"/>
      <c r="E55" s="87"/>
      <c r="F55" s="124"/>
      <c r="G55" s="115"/>
      <c r="H55" s="160"/>
      <c r="I55" s="95"/>
      <c r="J55" s="173"/>
      <c r="K55" s="121"/>
      <c r="L55" s="156"/>
      <c r="M55" s="121"/>
      <c r="N55" s="124"/>
      <c r="O55" s="121"/>
      <c r="P55" s="175"/>
      <c r="Q55" s="121"/>
      <c r="R55" s="156"/>
      <c r="S55" s="161"/>
      <c r="T55" s="115"/>
      <c r="U55" s="156"/>
      <c r="V55" s="67"/>
      <c r="W55" s="181"/>
      <c r="X55" s="183"/>
      <c r="Y55" s="67"/>
      <c r="Z55" s="208">
        <v>7.0000000000000007E-2</v>
      </c>
      <c r="AA55" s="106">
        <f>M54*Z55</f>
        <v>47603.500000000007</v>
      </c>
      <c r="AB55" s="12" t="s">
        <v>140</v>
      </c>
      <c r="AC55" s="246">
        <v>2767</v>
      </c>
      <c r="AD55" s="137">
        <v>5000</v>
      </c>
      <c r="AE55" s="138"/>
      <c r="AF55" s="139"/>
      <c r="AG55" s="204"/>
    </row>
    <row r="56" spans="1:33">
      <c r="A56" s="19">
        <v>21</v>
      </c>
      <c r="B56" s="28" t="s">
        <v>33</v>
      </c>
      <c r="C56" s="89" t="s">
        <v>34</v>
      </c>
      <c r="D56" s="89" t="s">
        <v>145</v>
      </c>
      <c r="E56" s="89">
        <v>14</v>
      </c>
      <c r="F56" s="123">
        <v>202193</v>
      </c>
      <c r="G56" s="31">
        <f>F56*1</f>
        <v>202193</v>
      </c>
      <c r="H56" s="166"/>
      <c r="I56" s="6">
        <f>F56*2*10%</f>
        <v>40438.600000000006</v>
      </c>
      <c r="J56" s="172">
        <v>0</v>
      </c>
      <c r="K56" s="170">
        <v>16630</v>
      </c>
      <c r="L56" s="169">
        <v>170618</v>
      </c>
      <c r="M56" s="169">
        <f>SUM(F56+G56+H56+I56+J56+K56+L56)</f>
        <v>632072.6</v>
      </c>
      <c r="N56" s="123">
        <v>36</v>
      </c>
      <c r="O56" s="7">
        <f>F56*2/190*N56*1.25</f>
        <v>95775.631578947359</v>
      </c>
      <c r="P56" s="123">
        <v>17</v>
      </c>
      <c r="Q56" s="7">
        <f>F56*2/190*P56*1.5</f>
        <v>54272.857894736844</v>
      </c>
      <c r="R56" s="6">
        <v>0</v>
      </c>
      <c r="S56" s="167">
        <v>0</v>
      </c>
      <c r="T56" s="168">
        <v>0</v>
      </c>
      <c r="U56" s="169">
        <f>SUM(M56+O56+Q56+S56+T56)</f>
        <v>782121.08947368409</v>
      </c>
      <c r="V56" s="68" t="s">
        <v>55</v>
      </c>
      <c r="W56" s="182">
        <v>0.1154</v>
      </c>
      <c r="X56" s="6">
        <f>M56*W56</f>
        <v>72941.178039999999</v>
      </c>
      <c r="Y56" s="68" t="s">
        <v>54</v>
      </c>
      <c r="Z56" s="195">
        <v>7.0000000000000007E-2</v>
      </c>
      <c r="AA56" s="66">
        <f>M56*Z56</f>
        <v>44245.082000000002</v>
      </c>
      <c r="AB56" s="16"/>
      <c r="AC56" s="135">
        <v>0</v>
      </c>
      <c r="AD56" s="133">
        <v>2710</v>
      </c>
      <c r="AE56" s="134">
        <f>X56+AA56+AC56+AC57+AD56+AD57</f>
        <v>129896.26003999999</v>
      </c>
      <c r="AF56" s="228">
        <f>U56-AE56</f>
        <v>652224.82943368412</v>
      </c>
      <c r="AG56" s="203">
        <f>SUM(M56)*2.21/100</f>
        <v>13968.804459999999</v>
      </c>
    </row>
    <row r="57" spans="1:33">
      <c r="A57" s="22"/>
      <c r="B57" s="8"/>
      <c r="C57" s="88"/>
      <c r="D57" s="88"/>
      <c r="E57" s="88"/>
      <c r="F57" s="122"/>
      <c r="G57" s="163"/>
      <c r="H57" s="162"/>
      <c r="I57" s="93"/>
      <c r="J57" s="174"/>
      <c r="K57" s="120"/>
      <c r="L57" s="119"/>
      <c r="M57" s="119"/>
      <c r="N57" s="122"/>
      <c r="O57" s="120"/>
      <c r="P57" s="164"/>
      <c r="Q57" s="120"/>
      <c r="R57" s="119"/>
      <c r="S57" s="163"/>
      <c r="T57" s="159"/>
      <c r="U57" s="119"/>
      <c r="V57" s="43"/>
      <c r="W57" s="179"/>
      <c r="X57" s="157"/>
      <c r="Y57" s="43"/>
      <c r="Z57" s="85"/>
      <c r="AA57" s="186"/>
      <c r="AB57" s="14"/>
      <c r="AC57" s="142">
        <v>0</v>
      </c>
      <c r="AD57" s="141">
        <v>10000</v>
      </c>
      <c r="AE57" s="132"/>
      <c r="AF57" s="142"/>
      <c r="AG57" s="202"/>
    </row>
    <row r="58" spans="1:33">
      <c r="A58" s="19">
        <v>22</v>
      </c>
      <c r="B58" s="28" t="s">
        <v>35</v>
      </c>
      <c r="C58" s="89" t="s">
        <v>113</v>
      </c>
      <c r="D58" s="89" t="s">
        <v>141</v>
      </c>
      <c r="E58" s="89">
        <v>15</v>
      </c>
      <c r="F58" s="123">
        <v>234965</v>
      </c>
      <c r="G58" s="31">
        <f>F58*1</f>
        <v>234965</v>
      </c>
      <c r="H58" s="166"/>
      <c r="I58" s="6">
        <v>33024</v>
      </c>
      <c r="J58" s="172">
        <v>0</v>
      </c>
      <c r="K58" s="170">
        <v>16630</v>
      </c>
      <c r="L58" s="169">
        <v>81648</v>
      </c>
      <c r="M58" s="170">
        <f>SUM(F58+G58+H58+I58+J58+K58+L58)</f>
        <v>601232</v>
      </c>
      <c r="N58" s="123">
        <v>3</v>
      </c>
      <c r="O58" s="7">
        <f>F58*2/190*N58*1.25</f>
        <v>9274.9342105263149</v>
      </c>
      <c r="P58" s="123">
        <v>12</v>
      </c>
      <c r="Q58" s="7">
        <f>F58*2/190*P58*1.5</f>
        <v>44519.684210526313</v>
      </c>
      <c r="R58" s="6">
        <v>0</v>
      </c>
      <c r="S58" s="167">
        <v>0</v>
      </c>
      <c r="T58" s="168">
        <v>50000</v>
      </c>
      <c r="U58" s="169">
        <f>SUM(M58+O58+Q58+S58+T58)</f>
        <v>705026.61842105258</v>
      </c>
      <c r="V58" s="41" t="s">
        <v>53</v>
      </c>
      <c r="W58" s="180">
        <v>0.1236</v>
      </c>
      <c r="X58" s="6">
        <f>M58*W58</f>
        <v>74312.275200000004</v>
      </c>
      <c r="Y58" s="41" t="s">
        <v>54</v>
      </c>
      <c r="Z58" s="195">
        <v>7.0000000000000007E-2</v>
      </c>
      <c r="AA58" s="66">
        <f>M58*Z58</f>
        <v>42086.240000000005</v>
      </c>
      <c r="AB58" s="16"/>
      <c r="AC58" s="135">
        <v>0</v>
      </c>
      <c r="AD58" s="133">
        <v>1477</v>
      </c>
      <c r="AE58" s="134">
        <f>X58+AA58+AC58+AC59+AD58+AD59</f>
        <v>122875.51520000001</v>
      </c>
      <c r="AF58" s="228">
        <f>U58-AE58</f>
        <v>582151.10322105256</v>
      </c>
      <c r="AG58" s="203">
        <f>SUM(M58)*2.21/100</f>
        <v>13287.227199999999</v>
      </c>
    </row>
    <row r="59" spans="1:33">
      <c r="A59" s="22"/>
      <c r="B59" s="8"/>
      <c r="C59" s="88"/>
      <c r="D59" s="88"/>
      <c r="E59" s="88"/>
      <c r="F59" s="122"/>
      <c r="G59" s="163"/>
      <c r="H59" s="162"/>
      <c r="I59" s="93"/>
      <c r="J59" s="174"/>
      <c r="K59" s="120"/>
      <c r="L59" s="119"/>
      <c r="M59" s="120"/>
      <c r="N59" s="122"/>
      <c r="O59" s="120"/>
      <c r="P59" s="164"/>
      <c r="Q59" s="120"/>
      <c r="R59" s="119"/>
      <c r="S59" s="163"/>
      <c r="T59" s="159"/>
      <c r="U59" s="119"/>
      <c r="V59" s="43"/>
      <c r="W59" s="179"/>
      <c r="X59" s="158"/>
      <c r="Y59" s="43"/>
      <c r="Z59" s="85"/>
      <c r="AA59" s="186"/>
      <c r="AB59" s="14"/>
      <c r="AC59" s="142">
        <v>0</v>
      </c>
      <c r="AD59" s="141">
        <v>5000</v>
      </c>
      <c r="AE59" s="141"/>
      <c r="AF59" s="142"/>
      <c r="AG59" s="202"/>
    </row>
    <row r="60" spans="1:33">
      <c r="A60" s="20">
        <v>23</v>
      </c>
      <c r="B60" s="29" t="s">
        <v>36</v>
      </c>
      <c r="C60" s="87" t="s">
        <v>109</v>
      </c>
      <c r="D60" s="87" t="s">
        <v>141</v>
      </c>
      <c r="E60" s="87">
        <v>13</v>
      </c>
      <c r="F60" s="124">
        <v>276923</v>
      </c>
      <c r="G60" s="31">
        <f>F60*1</f>
        <v>276923</v>
      </c>
      <c r="H60" s="160">
        <v>34892</v>
      </c>
      <c r="I60" s="6">
        <v>38449</v>
      </c>
      <c r="J60" s="173">
        <v>0</v>
      </c>
      <c r="K60" s="121">
        <v>16630</v>
      </c>
      <c r="L60" s="156">
        <v>102099</v>
      </c>
      <c r="M60" s="121">
        <f>SUM(F60+G60+H60+I60+J60+K60+L60)</f>
        <v>745916</v>
      </c>
      <c r="N60" s="124">
        <v>0</v>
      </c>
      <c r="O60" s="7">
        <f>F60*2/190*N60*1.25</f>
        <v>0</v>
      </c>
      <c r="P60" s="124">
        <v>0</v>
      </c>
      <c r="Q60" s="7">
        <f>F60*2/190*P60*1.5</f>
        <v>0</v>
      </c>
      <c r="R60" s="95">
        <v>1</v>
      </c>
      <c r="S60" s="161">
        <v>0</v>
      </c>
      <c r="T60" s="115">
        <v>0</v>
      </c>
      <c r="U60" s="169">
        <f>SUM(M60+O60+Q60+S60+T60)</f>
        <v>745916</v>
      </c>
      <c r="V60" s="41" t="s">
        <v>53</v>
      </c>
      <c r="W60" s="180">
        <v>0.1236</v>
      </c>
      <c r="X60" s="95">
        <f>M60*W60</f>
        <v>92195.217600000004</v>
      </c>
      <c r="Y60" s="41" t="s">
        <v>54</v>
      </c>
      <c r="Z60" s="196">
        <v>7.0000000000000007E-2</v>
      </c>
      <c r="AA60" s="66">
        <f>M60*Z60</f>
        <v>52214.12</v>
      </c>
      <c r="AB60" s="12" t="s">
        <v>95</v>
      </c>
      <c r="AC60" s="139">
        <v>4500</v>
      </c>
      <c r="AD60" s="137">
        <v>7264</v>
      </c>
      <c r="AE60" s="134">
        <f>X60+AA60+AC60+AC61+ AC62+AD60+AD61+AD62</f>
        <v>206273.3376</v>
      </c>
      <c r="AF60" s="197">
        <f>U60-AE60</f>
        <v>539642.66240000003</v>
      </c>
      <c r="AG60" s="203">
        <f>SUM(M60)*2.21/100</f>
        <v>16484.743599999998</v>
      </c>
    </row>
    <row r="61" spans="1:33">
      <c r="A61" s="20"/>
      <c r="B61" s="29"/>
      <c r="C61" s="87"/>
      <c r="D61" s="87"/>
      <c r="E61" s="87"/>
      <c r="F61" s="124"/>
      <c r="G61" s="115"/>
      <c r="H61" s="160"/>
      <c r="I61" s="95"/>
      <c r="J61" s="173"/>
      <c r="K61" s="121"/>
      <c r="L61" s="156"/>
      <c r="M61" s="121"/>
      <c r="N61" s="124"/>
      <c r="O61" s="121"/>
      <c r="P61" s="175"/>
      <c r="Q61" s="121"/>
      <c r="R61" s="156"/>
      <c r="S61" s="161"/>
      <c r="T61" s="115"/>
      <c r="U61" s="156"/>
      <c r="V61" s="42"/>
      <c r="W61" s="178"/>
      <c r="X61" s="57"/>
      <c r="Y61" s="42"/>
      <c r="Z61" s="82"/>
      <c r="AA61" s="188"/>
      <c r="AB61" s="12" t="s">
        <v>148</v>
      </c>
      <c r="AC61" s="139">
        <v>9000</v>
      </c>
      <c r="AD61" s="137">
        <v>5000</v>
      </c>
      <c r="AE61" s="138"/>
      <c r="AF61" s="139"/>
      <c r="AG61" s="204"/>
    </row>
    <row r="62" spans="1:33">
      <c r="A62" s="20"/>
      <c r="B62" s="29"/>
      <c r="C62" s="87"/>
      <c r="D62" s="87"/>
      <c r="E62" s="87"/>
      <c r="F62" s="124"/>
      <c r="G62" s="115"/>
      <c r="H62" s="160"/>
      <c r="I62" s="95"/>
      <c r="J62" s="173"/>
      <c r="K62" s="121"/>
      <c r="L62" s="156"/>
      <c r="M62" s="121"/>
      <c r="N62" s="124"/>
      <c r="O62" s="121"/>
      <c r="P62" s="175"/>
      <c r="Q62" s="121"/>
      <c r="R62" s="156"/>
      <c r="S62" s="161"/>
      <c r="T62" s="115"/>
      <c r="U62" s="156"/>
      <c r="V62" s="42"/>
      <c r="W62" s="178"/>
      <c r="X62" s="157"/>
      <c r="Y62" s="42"/>
      <c r="Z62" s="82"/>
      <c r="AA62" s="188"/>
      <c r="AB62" s="12" t="s">
        <v>149</v>
      </c>
      <c r="AC62" s="139">
        <v>36100</v>
      </c>
      <c r="AD62" s="137"/>
      <c r="AE62" s="138"/>
      <c r="AF62" s="139"/>
      <c r="AG62" s="204"/>
    </row>
    <row r="63" spans="1:33">
      <c r="A63" s="291">
        <v>24</v>
      </c>
      <c r="B63" s="240" t="s">
        <v>125</v>
      </c>
      <c r="C63" s="256" t="s">
        <v>108</v>
      </c>
      <c r="D63" s="9" t="s">
        <v>143</v>
      </c>
      <c r="E63" s="256">
        <v>14</v>
      </c>
      <c r="F63" s="123">
        <v>511525</v>
      </c>
      <c r="G63" s="31">
        <f>F63*1</f>
        <v>511525</v>
      </c>
      <c r="H63" s="123">
        <v>0</v>
      </c>
      <c r="I63" s="7">
        <v>68173</v>
      </c>
      <c r="J63" s="169">
        <v>0</v>
      </c>
      <c r="K63" s="170">
        <v>16630</v>
      </c>
      <c r="L63" s="169">
        <v>0</v>
      </c>
      <c r="M63" s="170">
        <f>SUM(F63+G63+H63+I63+J63+K63+L63)</f>
        <v>1107853</v>
      </c>
      <c r="N63" s="123">
        <v>0</v>
      </c>
      <c r="O63" s="170">
        <v>0</v>
      </c>
      <c r="P63" s="123">
        <v>0</v>
      </c>
      <c r="Q63" s="7">
        <f>F63*2/190*P63*1.5</f>
        <v>0</v>
      </c>
      <c r="R63" s="169">
        <v>0</v>
      </c>
      <c r="S63" s="168">
        <v>0</v>
      </c>
      <c r="T63" s="123">
        <v>0</v>
      </c>
      <c r="U63" s="170">
        <f>SUM(M63+O63+Q63+S63+T63)</f>
        <v>1107853</v>
      </c>
      <c r="V63" s="41" t="s">
        <v>99</v>
      </c>
      <c r="W63" s="261">
        <v>0.1077</v>
      </c>
      <c r="X63" s="6">
        <f>M63*W63</f>
        <v>119315.7681</v>
      </c>
      <c r="Y63" s="280" t="s">
        <v>59</v>
      </c>
      <c r="Z63" s="279">
        <v>2.7589999999999999</v>
      </c>
      <c r="AA63" s="281">
        <f>Y4*Z63</f>
        <v>65590.838189999995</v>
      </c>
      <c r="AB63" s="15" t="s">
        <v>140</v>
      </c>
      <c r="AC63" s="287">
        <v>14807</v>
      </c>
      <c r="AD63" s="135">
        <v>21742</v>
      </c>
      <c r="AE63" s="134">
        <f>X63+AA63+AC63+AD63</f>
        <v>221455.60629</v>
      </c>
      <c r="AF63" s="285">
        <f>U63-AE63</f>
        <v>886397.39370999997</v>
      </c>
      <c r="AG63" s="323">
        <f>SUM(M63)*2.21/100</f>
        <v>24483.551299999999</v>
      </c>
    </row>
    <row r="64" spans="1:33">
      <c r="A64" s="322"/>
      <c r="B64" s="86"/>
      <c r="C64" s="253"/>
      <c r="D64" s="13"/>
      <c r="E64" s="253"/>
      <c r="F64" s="122"/>
      <c r="G64" s="158"/>
      <c r="H64" s="122"/>
      <c r="I64" s="85"/>
      <c r="J64" s="119"/>
      <c r="K64" s="120"/>
      <c r="L64" s="119"/>
      <c r="M64" s="120"/>
      <c r="N64" s="122"/>
      <c r="O64" s="120"/>
      <c r="P64" s="122"/>
      <c r="Q64" s="85"/>
      <c r="R64" s="119"/>
      <c r="S64" s="159"/>
      <c r="T64" s="122"/>
      <c r="U64" s="120"/>
      <c r="V64" s="43"/>
      <c r="W64" s="177"/>
      <c r="X64" s="93"/>
      <c r="Y64" s="282"/>
      <c r="Z64" s="284"/>
      <c r="AA64" s="283"/>
      <c r="AB64" s="39"/>
      <c r="AC64" s="132"/>
      <c r="AD64" s="142"/>
      <c r="AE64" s="132"/>
      <c r="AF64" s="286"/>
      <c r="AG64" s="325"/>
    </row>
    <row r="65" spans="1:34">
      <c r="A65" s="20">
        <v>25</v>
      </c>
      <c r="B65" s="29" t="s">
        <v>38</v>
      </c>
      <c r="C65" s="87" t="s">
        <v>39</v>
      </c>
      <c r="D65" s="11" t="s">
        <v>144</v>
      </c>
      <c r="E65" s="90">
        <v>12</v>
      </c>
      <c r="F65" s="124">
        <v>266619</v>
      </c>
      <c r="G65" s="57">
        <f>F65*1</f>
        <v>266619</v>
      </c>
      <c r="H65" s="160"/>
      <c r="I65" s="95">
        <v>36762</v>
      </c>
      <c r="J65" s="173">
        <v>0</v>
      </c>
      <c r="K65" s="121">
        <v>16630</v>
      </c>
      <c r="L65" s="156">
        <v>0</v>
      </c>
      <c r="M65" s="121">
        <f>SUM(F65+G65+H65+I65+J65+K65+L65)</f>
        <v>586630</v>
      </c>
      <c r="N65" s="124">
        <v>4</v>
      </c>
      <c r="O65" s="82">
        <f>F65*2/190*N65*1.25</f>
        <v>14032.578947368422</v>
      </c>
      <c r="P65" s="124">
        <v>0</v>
      </c>
      <c r="Q65" s="82">
        <f>F65*2/190*P65*1.5</f>
        <v>0</v>
      </c>
      <c r="R65" s="95">
        <v>0</v>
      </c>
      <c r="S65" s="161">
        <v>0</v>
      </c>
      <c r="T65" s="115">
        <v>0</v>
      </c>
      <c r="U65" s="156">
        <f>SUM(M65+O65+Q65+S65+T65)</f>
        <v>600662.57894736843</v>
      </c>
      <c r="V65" s="42" t="s">
        <v>53</v>
      </c>
      <c r="W65" s="250">
        <v>0.1236</v>
      </c>
      <c r="X65" s="95">
        <f>M65*W65</f>
        <v>72507.468000000008</v>
      </c>
      <c r="Y65" s="264" t="s">
        <v>54</v>
      </c>
      <c r="Z65" s="196">
        <v>7.0000000000000007E-2</v>
      </c>
      <c r="AA65" s="105">
        <f>M65*Z65</f>
        <v>41064.100000000006</v>
      </c>
      <c r="AB65" s="12" t="s">
        <v>158</v>
      </c>
      <c r="AC65" s="139">
        <v>49017</v>
      </c>
      <c r="AD65" s="137">
        <v>893</v>
      </c>
      <c r="AE65" s="138">
        <f>X65+AA65+AC65+AC66+AC67+ AC68+AD65+AD67+AD68</f>
        <v>240487.56800000003</v>
      </c>
      <c r="AF65" s="197">
        <f>U65-AE65</f>
        <v>360175.0109473684</v>
      </c>
      <c r="AG65" s="201">
        <f>SUM(M65)*2.21/100</f>
        <v>12964.523000000001</v>
      </c>
    </row>
    <row r="66" spans="1:34">
      <c r="A66" s="20"/>
      <c r="B66" s="29"/>
      <c r="C66" s="87"/>
      <c r="D66" s="11"/>
      <c r="E66" s="90"/>
      <c r="F66" s="124"/>
      <c r="G66" s="57"/>
      <c r="H66" s="160"/>
      <c r="I66" s="95"/>
      <c r="J66" s="173"/>
      <c r="K66" s="121"/>
      <c r="L66" s="156"/>
      <c r="M66" s="121"/>
      <c r="N66" s="124"/>
      <c r="O66" s="82"/>
      <c r="P66" s="124"/>
      <c r="Q66" s="82"/>
      <c r="R66" s="95"/>
      <c r="S66" s="161"/>
      <c r="T66" s="115"/>
      <c r="U66" s="156"/>
      <c r="V66" s="42"/>
      <c r="W66" s="250"/>
      <c r="X66" s="95"/>
      <c r="Y66" s="264"/>
      <c r="Z66" s="196"/>
      <c r="AA66" s="105"/>
      <c r="AB66" s="12" t="s">
        <v>95</v>
      </c>
      <c r="AC66" s="139">
        <v>225</v>
      </c>
      <c r="AD66" s="137"/>
      <c r="AE66" s="138"/>
      <c r="AF66" s="197"/>
      <c r="AG66" s="201"/>
    </row>
    <row r="67" spans="1:34">
      <c r="A67" s="20"/>
      <c r="B67" s="29"/>
      <c r="C67" s="87"/>
      <c r="D67" s="11"/>
      <c r="E67" s="90"/>
      <c r="F67" s="124"/>
      <c r="G67" s="115"/>
      <c r="H67" s="160"/>
      <c r="I67" s="95"/>
      <c r="J67" s="173"/>
      <c r="K67" s="121"/>
      <c r="L67" s="156"/>
      <c r="M67" s="121"/>
      <c r="N67" s="124"/>
      <c r="O67" s="121"/>
      <c r="P67" s="175"/>
      <c r="Q67" s="121"/>
      <c r="R67" s="156"/>
      <c r="S67" s="161"/>
      <c r="T67" s="115"/>
      <c r="U67" s="156"/>
      <c r="V67" s="42"/>
      <c r="W67" s="250"/>
      <c r="X67" s="114"/>
      <c r="Y67" s="264"/>
      <c r="Z67" s="192"/>
      <c r="AA67" s="188"/>
      <c r="AB67" s="12" t="s">
        <v>147</v>
      </c>
      <c r="AC67" s="139">
        <v>47951</v>
      </c>
      <c r="AD67" s="137">
        <v>5000</v>
      </c>
      <c r="AE67" s="138"/>
      <c r="AF67" s="139"/>
      <c r="AG67" s="204"/>
    </row>
    <row r="68" spans="1:34">
      <c r="A68" s="20"/>
      <c r="B68" s="29"/>
      <c r="C68" s="87"/>
      <c r="D68" s="11"/>
      <c r="E68" s="90"/>
      <c r="F68" s="124"/>
      <c r="G68" s="115"/>
      <c r="H68" s="160"/>
      <c r="I68" s="95"/>
      <c r="J68" s="173"/>
      <c r="K68" s="121"/>
      <c r="L68" s="156"/>
      <c r="M68" s="121"/>
      <c r="N68" s="124"/>
      <c r="O68" s="121"/>
      <c r="P68" s="175"/>
      <c r="Q68" s="121"/>
      <c r="R68" s="156"/>
      <c r="S68" s="161"/>
      <c r="T68" s="115"/>
      <c r="U68" s="156"/>
      <c r="V68" s="42"/>
      <c r="W68" s="250"/>
      <c r="X68" s="157"/>
      <c r="Y68" s="264"/>
      <c r="Z68" s="192"/>
      <c r="AA68" s="188"/>
      <c r="AB68" s="12" t="s">
        <v>136</v>
      </c>
      <c r="AC68" s="139">
        <v>23830</v>
      </c>
      <c r="AD68" s="137"/>
      <c r="AE68" s="138"/>
      <c r="AF68" s="142"/>
      <c r="AG68" s="204"/>
    </row>
    <row r="69" spans="1:34">
      <c r="A69" s="291">
        <v>26</v>
      </c>
      <c r="B69" s="240" t="s">
        <v>86</v>
      </c>
      <c r="C69" s="256" t="s">
        <v>75</v>
      </c>
      <c r="D69" s="9" t="s">
        <v>141</v>
      </c>
      <c r="E69" s="9">
        <v>15</v>
      </c>
      <c r="F69" s="167">
        <v>234965</v>
      </c>
      <c r="G69" s="171">
        <f>F69*1</f>
        <v>234965</v>
      </c>
      <c r="H69" s="123"/>
      <c r="I69" s="176">
        <v>33024</v>
      </c>
      <c r="J69" s="172">
        <v>0</v>
      </c>
      <c r="K69" s="170">
        <v>16630</v>
      </c>
      <c r="L69" s="169">
        <v>0</v>
      </c>
      <c r="M69" s="169">
        <f>SUM(F69+G69+H69+I69+J69+K69+L69)</f>
        <v>519584</v>
      </c>
      <c r="N69" s="123">
        <v>0</v>
      </c>
      <c r="O69" s="7">
        <f>F69*2/190*N69*1.25</f>
        <v>0</v>
      </c>
      <c r="P69" s="123">
        <v>0</v>
      </c>
      <c r="Q69" s="7">
        <f>F69*2/190*P69*1.5</f>
        <v>0</v>
      </c>
      <c r="R69" s="6">
        <v>0</v>
      </c>
      <c r="S69" s="167">
        <v>0</v>
      </c>
      <c r="T69" s="168">
        <v>0</v>
      </c>
      <c r="U69" s="169">
        <f>SUM(M69+O69+Q69+S69+T69)</f>
        <v>519584</v>
      </c>
      <c r="V69" s="68" t="s">
        <v>55</v>
      </c>
      <c r="W69" s="73">
        <v>0.1154</v>
      </c>
      <c r="X69" s="95">
        <f>M69*W69</f>
        <v>59959.993600000002</v>
      </c>
      <c r="Y69" s="68" t="s">
        <v>54</v>
      </c>
      <c r="Z69" s="187">
        <v>7.0000000000000007E-2</v>
      </c>
      <c r="AA69" s="66">
        <f>M69*Z69</f>
        <v>36370.880000000005</v>
      </c>
      <c r="AB69" s="16"/>
      <c r="AC69" s="135">
        <v>0</v>
      </c>
      <c r="AD69" s="133">
        <v>0</v>
      </c>
      <c r="AE69" s="134">
        <f>X69+AA69+AC69+AC70+AD69+AD70</f>
        <v>101330.87360000001</v>
      </c>
      <c r="AF69" s="197">
        <f>U69-AE69</f>
        <v>418253.12640000001</v>
      </c>
      <c r="AG69" s="203">
        <f>SUM(M69)*2.21/100</f>
        <v>11482.806399999999</v>
      </c>
    </row>
    <row r="70" spans="1:34">
      <c r="A70" s="322"/>
      <c r="B70" s="86"/>
      <c r="C70" s="253"/>
      <c r="D70" s="13"/>
      <c r="E70" s="13"/>
      <c r="F70" s="161"/>
      <c r="G70" s="114"/>
      <c r="H70" s="124"/>
      <c r="I70" s="239"/>
      <c r="J70" s="173"/>
      <c r="K70" s="121"/>
      <c r="L70" s="156"/>
      <c r="M70" s="156"/>
      <c r="N70" s="124"/>
      <c r="O70" s="82"/>
      <c r="P70" s="124"/>
      <c r="Q70" s="82"/>
      <c r="R70" s="95"/>
      <c r="S70" s="161"/>
      <c r="T70" s="115"/>
      <c r="U70" s="156"/>
      <c r="V70" s="67"/>
      <c r="W70" s="72"/>
      <c r="X70" s="95"/>
      <c r="Y70" s="67"/>
      <c r="Z70" s="185"/>
      <c r="AA70" s="105"/>
      <c r="AB70" s="12"/>
      <c r="AC70" s="139">
        <v>0</v>
      </c>
      <c r="AD70" s="137">
        <v>5000</v>
      </c>
      <c r="AE70" s="138"/>
      <c r="AF70" s="197"/>
      <c r="AG70" s="201"/>
    </row>
    <row r="71" spans="1:34">
      <c r="A71" s="20">
        <v>27</v>
      </c>
      <c r="B71" s="29" t="s">
        <v>40</v>
      </c>
      <c r="C71" s="87" t="s">
        <v>41</v>
      </c>
      <c r="D71" s="87" t="s">
        <v>141</v>
      </c>
      <c r="E71" s="87">
        <v>13</v>
      </c>
      <c r="F71" s="123">
        <v>276923</v>
      </c>
      <c r="G71" s="31">
        <f>F71*1</f>
        <v>276923</v>
      </c>
      <c r="H71" s="166">
        <v>34892</v>
      </c>
      <c r="I71" s="6">
        <v>38449</v>
      </c>
      <c r="J71" s="172">
        <v>0</v>
      </c>
      <c r="K71" s="170">
        <v>16630</v>
      </c>
      <c r="L71" s="169">
        <v>105599</v>
      </c>
      <c r="M71" s="169">
        <f>SUM(F71+G71+H71+I71+J71+K71+L71)</f>
        <v>749416</v>
      </c>
      <c r="N71" s="123">
        <v>5</v>
      </c>
      <c r="O71" s="7">
        <f>F71*2/190*N71*1.25</f>
        <v>18218.61842105263</v>
      </c>
      <c r="P71" s="123">
        <v>12</v>
      </c>
      <c r="Q71" s="7">
        <f>F71*2/190*P71*1.5</f>
        <v>52469.62105263157</v>
      </c>
      <c r="R71" s="6">
        <v>0</v>
      </c>
      <c r="S71" s="167">
        <v>0</v>
      </c>
      <c r="T71" s="168">
        <v>0</v>
      </c>
      <c r="U71" s="169">
        <f>SUM(M71+O71+Q71+S71+T71)</f>
        <v>820104.23947368411</v>
      </c>
      <c r="V71" s="68" t="s">
        <v>55</v>
      </c>
      <c r="W71" s="182">
        <v>0.1154</v>
      </c>
      <c r="X71" s="95">
        <f>M71*W71</f>
        <v>86482.606400000004</v>
      </c>
      <c r="Y71" s="209" t="s">
        <v>51</v>
      </c>
      <c r="Z71" s="205">
        <v>1.49</v>
      </c>
      <c r="AA71" s="190">
        <v>0</v>
      </c>
      <c r="AB71" s="16" t="s">
        <v>140</v>
      </c>
      <c r="AC71" s="245">
        <v>13586</v>
      </c>
      <c r="AD71" s="133">
        <v>7404</v>
      </c>
      <c r="AE71" s="134">
        <f>X71+AA71+AA72+AC71+AC72+AD71+AD72</f>
        <v>164931.72640000001</v>
      </c>
      <c r="AF71" s="228">
        <f>U71-AE71</f>
        <v>655172.51307368407</v>
      </c>
      <c r="AG71" s="203">
        <f>SUM(M71)*2.21/100</f>
        <v>16562.0936</v>
      </c>
    </row>
    <row r="72" spans="1:34" ht="13.5" thickBot="1">
      <c r="A72" s="25"/>
      <c r="B72" s="30"/>
      <c r="C72" s="326"/>
      <c r="D72" s="326"/>
      <c r="E72" s="326"/>
      <c r="F72" s="327"/>
      <c r="G72" s="328"/>
      <c r="H72" s="329"/>
      <c r="I72" s="330"/>
      <c r="J72" s="331"/>
      <c r="K72" s="332"/>
      <c r="L72" s="333"/>
      <c r="M72" s="333"/>
      <c r="N72" s="327"/>
      <c r="O72" s="332"/>
      <c r="P72" s="334"/>
      <c r="Q72" s="332"/>
      <c r="R72" s="333"/>
      <c r="S72" s="328"/>
      <c r="T72" s="335"/>
      <c r="U72" s="333"/>
      <c r="V72" s="298"/>
      <c r="W72" s="336"/>
      <c r="X72" s="337"/>
      <c r="Y72" s="298"/>
      <c r="Z72" s="338">
        <v>7.0000000000000007E-2</v>
      </c>
      <c r="AA72" s="339">
        <f>M71*Z72</f>
        <v>52459.12</v>
      </c>
      <c r="AB72" s="303"/>
      <c r="AC72" s="340">
        <v>0</v>
      </c>
      <c r="AD72" s="341">
        <v>5000</v>
      </c>
      <c r="AE72" s="342"/>
      <c r="AF72" s="340"/>
      <c r="AG72" s="343"/>
    </row>
    <row r="73" spans="1:34">
      <c r="A73" s="291">
        <v>28</v>
      </c>
      <c r="B73" s="240" t="s">
        <v>87</v>
      </c>
      <c r="C73" s="256" t="s">
        <v>76</v>
      </c>
      <c r="D73" s="9" t="s">
        <v>143</v>
      </c>
      <c r="E73" s="256">
        <v>15</v>
      </c>
      <c r="F73" s="125">
        <v>445916</v>
      </c>
      <c r="G73" s="126">
        <f>F73*1</f>
        <v>445916</v>
      </c>
      <c r="H73" s="125"/>
      <c r="I73" s="133">
        <v>62585</v>
      </c>
      <c r="J73" s="135"/>
      <c r="K73" s="135">
        <v>16630</v>
      </c>
      <c r="L73" s="135">
        <v>44592</v>
      </c>
      <c r="M73" s="135">
        <f>SUM(F73+G73+H73+I73+J73+K73+L73)</f>
        <v>1015639</v>
      </c>
      <c r="N73" s="125">
        <v>12</v>
      </c>
      <c r="O73" s="228">
        <f>F73*2/190*N73*1.25</f>
        <v>70407.789473684214</v>
      </c>
      <c r="P73" s="125">
        <v>9</v>
      </c>
      <c r="Q73" s="228">
        <f>F73*2/190*P73*1.5</f>
        <v>63367.010526315797</v>
      </c>
      <c r="R73" s="10">
        <v>0</v>
      </c>
      <c r="S73" s="241">
        <v>0</v>
      </c>
      <c r="T73" s="241">
        <v>0</v>
      </c>
      <c r="U73" s="169">
        <f>SUM(M73+O73+Q73+S73+T73)</f>
        <v>1149413.8</v>
      </c>
      <c r="V73" s="68" t="s">
        <v>99</v>
      </c>
      <c r="W73" s="73">
        <v>0.1077</v>
      </c>
      <c r="X73" s="6">
        <f>M73*W73</f>
        <v>109384.32030000001</v>
      </c>
      <c r="Y73" s="68" t="s">
        <v>54</v>
      </c>
      <c r="Z73" s="242">
        <v>7.0000000000000007E-2</v>
      </c>
      <c r="AA73" s="233">
        <f>M73*Z73</f>
        <v>71094.73000000001</v>
      </c>
      <c r="AB73" s="38"/>
      <c r="AC73" s="243"/>
      <c r="AD73" s="15">
        <v>18053</v>
      </c>
      <c r="AE73" s="135">
        <f>X73+AA73+AC73+AD73+AD74</f>
        <v>203532.0503</v>
      </c>
      <c r="AF73" s="230">
        <f>U73-AE73</f>
        <v>945881.74970000004</v>
      </c>
      <c r="AG73" s="18">
        <f>SUM(M73)*2.21/100</f>
        <v>22445.621899999998</v>
      </c>
      <c r="AH73" s="1"/>
    </row>
    <row r="74" spans="1:34">
      <c r="A74" s="101"/>
      <c r="B74" s="86"/>
      <c r="C74" s="90"/>
      <c r="D74" s="13"/>
      <c r="E74" s="90"/>
      <c r="F74" s="129"/>
      <c r="G74" s="229"/>
      <c r="H74" s="129"/>
      <c r="I74" s="138"/>
      <c r="J74" s="147"/>
      <c r="K74" s="147"/>
      <c r="L74" s="147"/>
      <c r="M74" s="147"/>
      <c r="N74" s="265"/>
      <c r="O74" s="200"/>
      <c r="P74" s="265"/>
      <c r="Q74" s="200"/>
      <c r="R74" s="266"/>
      <c r="S74" s="267"/>
      <c r="T74" s="267"/>
      <c r="U74" s="257"/>
      <c r="V74" s="268"/>
      <c r="W74" s="269"/>
      <c r="X74" s="184"/>
      <c r="Y74" s="268"/>
      <c r="Z74" s="270"/>
      <c r="AA74" s="235"/>
      <c r="AB74" s="46"/>
      <c r="AC74" s="46"/>
      <c r="AD74" s="46">
        <v>5000</v>
      </c>
      <c r="AE74" s="147"/>
      <c r="AF74" s="200"/>
      <c r="AG74" s="292"/>
      <c r="AH74" s="1"/>
    </row>
    <row r="75" spans="1:34">
      <c r="A75" s="19">
        <v>29</v>
      </c>
      <c r="B75" s="28" t="s">
        <v>42</v>
      </c>
      <c r="C75" s="9" t="s">
        <v>43</v>
      </c>
      <c r="D75" s="9" t="s">
        <v>142</v>
      </c>
      <c r="E75" s="9">
        <v>9</v>
      </c>
      <c r="F75" s="125">
        <v>347428</v>
      </c>
      <c r="G75" s="126">
        <f>F75*1</f>
        <v>347428</v>
      </c>
      <c r="H75" s="125">
        <v>43080</v>
      </c>
      <c r="I75" s="134">
        <v>47361</v>
      </c>
      <c r="J75" s="135"/>
      <c r="K75" s="134">
        <v>16630</v>
      </c>
      <c r="L75" s="148">
        <v>120319</v>
      </c>
      <c r="M75" s="135">
        <f>SUM(F75+G75+H75+I75+J75+K75+L75)</f>
        <v>922246</v>
      </c>
      <c r="N75" s="127">
        <v>1</v>
      </c>
      <c r="O75" s="128">
        <f>F75*2/190*N75*1.25</f>
        <v>4571.4210526315783</v>
      </c>
      <c r="P75" s="125">
        <v>0</v>
      </c>
      <c r="Q75" s="128">
        <f>F75*2/190*P75*1.5</f>
        <v>0</v>
      </c>
      <c r="R75" s="10">
        <v>0</v>
      </c>
      <c r="S75" s="223">
        <v>0</v>
      </c>
      <c r="T75" s="32">
        <v>0</v>
      </c>
      <c r="U75" s="169">
        <f>SUM(M75+O75+Q75+S75+T75)</f>
        <v>926817.42105263157</v>
      </c>
      <c r="V75" s="68" t="s">
        <v>55</v>
      </c>
      <c r="W75" s="73">
        <v>0.1154</v>
      </c>
      <c r="X75" s="6">
        <f>M75*W75</f>
        <v>106427.1884</v>
      </c>
      <c r="Y75" s="68" t="s">
        <v>54</v>
      </c>
      <c r="Z75" s="242">
        <v>7.0000000000000007E-2</v>
      </c>
      <c r="AA75" s="233">
        <f>M75*Z75</f>
        <v>64557.220000000008</v>
      </c>
      <c r="AB75" s="15" t="s">
        <v>159</v>
      </c>
      <c r="AC75" s="16">
        <v>61717</v>
      </c>
      <c r="AD75" s="15">
        <v>14317</v>
      </c>
      <c r="AE75" s="16">
        <f>X75+AA75+AC75+AC76+AC77+AC78+AC79+AD75+AD78</f>
        <v>479443.40840000001</v>
      </c>
      <c r="AF75" s="230">
        <f>U75-AE75</f>
        <v>447374.01265263156</v>
      </c>
      <c r="AG75" s="24">
        <f>SUM(M75)*2.21/100</f>
        <v>20381.636599999998</v>
      </c>
    </row>
    <row r="76" spans="1:34">
      <c r="A76" s="20"/>
      <c r="B76" s="29"/>
      <c r="C76" s="11"/>
      <c r="D76" s="11"/>
      <c r="E76" s="11"/>
      <c r="F76" s="136"/>
      <c r="G76" s="229"/>
      <c r="H76" s="136"/>
      <c r="I76" s="138"/>
      <c r="J76" s="139"/>
      <c r="K76" s="138"/>
      <c r="L76" s="146"/>
      <c r="M76" s="139"/>
      <c r="N76" s="143"/>
      <c r="O76" s="117"/>
      <c r="P76" s="136"/>
      <c r="Q76" s="117"/>
      <c r="R76" s="17"/>
      <c r="S76" s="34"/>
      <c r="T76" s="33"/>
      <c r="U76" s="156"/>
      <c r="V76" s="67"/>
      <c r="W76" s="72"/>
      <c r="X76" s="82"/>
      <c r="Y76" s="67"/>
      <c r="Z76" s="91"/>
      <c r="AA76" s="232"/>
      <c r="AB76" s="38" t="s">
        <v>160</v>
      </c>
      <c r="AC76" s="12">
        <v>79936</v>
      </c>
      <c r="AD76" s="38"/>
      <c r="AE76" s="12"/>
      <c r="AF76" s="197"/>
      <c r="AG76" s="24"/>
    </row>
    <row r="77" spans="1:34">
      <c r="A77" s="20"/>
      <c r="B77" s="29"/>
      <c r="C77" s="11"/>
      <c r="D77" s="11"/>
      <c r="E77" s="11"/>
      <c r="F77" s="136"/>
      <c r="G77" s="229"/>
      <c r="H77" s="136"/>
      <c r="I77" s="138"/>
      <c r="J77" s="139"/>
      <c r="K77" s="138"/>
      <c r="L77" s="146"/>
      <c r="M77" s="139"/>
      <c r="N77" s="143"/>
      <c r="O77" s="117"/>
      <c r="P77" s="136"/>
      <c r="Q77" s="117"/>
      <c r="R77" s="17"/>
      <c r="S77" s="34"/>
      <c r="T77" s="33"/>
      <c r="U77" s="156"/>
      <c r="V77" s="67"/>
      <c r="W77" s="72"/>
      <c r="X77" s="82"/>
      <c r="Y77" s="67"/>
      <c r="Z77" s="91"/>
      <c r="AA77" s="232"/>
      <c r="AB77" s="38" t="s">
        <v>95</v>
      </c>
      <c r="AC77" s="12">
        <v>2250</v>
      </c>
      <c r="AD77" s="38"/>
      <c r="AE77" s="12"/>
      <c r="AF77" s="197"/>
      <c r="AG77" s="24"/>
    </row>
    <row r="78" spans="1:34">
      <c r="A78" s="20"/>
      <c r="B78" s="29"/>
      <c r="C78" s="11"/>
      <c r="D78" s="11"/>
      <c r="E78" s="11"/>
      <c r="F78" s="136"/>
      <c r="G78" s="143"/>
      <c r="H78" s="136"/>
      <c r="I78" s="138"/>
      <c r="J78" s="139"/>
      <c r="K78" s="138"/>
      <c r="L78" s="146"/>
      <c r="M78" s="139"/>
      <c r="N78" s="143"/>
      <c r="O78" s="138"/>
      <c r="P78" s="136"/>
      <c r="Q78" s="138"/>
      <c r="R78" s="38"/>
      <c r="S78" s="34"/>
      <c r="T78" s="33"/>
      <c r="U78" s="38"/>
      <c r="V78" s="67"/>
      <c r="W78" s="72"/>
      <c r="X78" s="79"/>
      <c r="Y78" s="67"/>
      <c r="Z78" s="102"/>
      <c r="AA78" s="231"/>
      <c r="AB78" s="38" t="s">
        <v>154</v>
      </c>
      <c r="AC78" s="12">
        <v>136239</v>
      </c>
      <c r="AD78" s="38">
        <v>5000</v>
      </c>
      <c r="AE78" s="12"/>
      <c r="AF78" s="38"/>
      <c r="AG78" s="21"/>
    </row>
    <row r="79" spans="1:34">
      <c r="A79" s="20"/>
      <c r="B79" s="29"/>
      <c r="C79" s="11"/>
      <c r="D79" s="11"/>
      <c r="E79" s="11"/>
      <c r="F79" s="136"/>
      <c r="G79" s="143"/>
      <c r="H79" s="136"/>
      <c r="I79" s="138"/>
      <c r="J79" s="139"/>
      <c r="K79" s="138"/>
      <c r="L79" s="146"/>
      <c r="M79" s="139"/>
      <c r="N79" s="143"/>
      <c r="O79" s="138"/>
      <c r="P79" s="136"/>
      <c r="Q79" s="138"/>
      <c r="R79" s="38"/>
      <c r="S79" s="34"/>
      <c r="T79" s="33"/>
      <c r="U79" s="38"/>
      <c r="V79" s="67"/>
      <c r="W79" s="72"/>
      <c r="X79" s="79"/>
      <c r="Y79" s="67"/>
      <c r="Z79" s="102"/>
      <c r="AA79" s="231"/>
      <c r="AB79" s="38" t="s">
        <v>148</v>
      </c>
      <c r="AC79" s="12">
        <v>9000</v>
      </c>
      <c r="AD79" s="38"/>
      <c r="AE79" s="12"/>
      <c r="AF79" s="38"/>
      <c r="AG79" s="21"/>
    </row>
    <row r="80" spans="1:34">
      <c r="A80" s="20">
        <v>30</v>
      </c>
      <c r="B80" s="29" t="s">
        <v>44</v>
      </c>
      <c r="C80" s="11" t="s">
        <v>45</v>
      </c>
      <c r="D80" s="11" t="s">
        <v>143</v>
      </c>
      <c r="E80" s="11">
        <v>12</v>
      </c>
      <c r="F80" s="136">
        <v>297691</v>
      </c>
      <c r="G80" s="229">
        <f>F80*1</f>
        <v>297691</v>
      </c>
      <c r="H80" s="136"/>
      <c r="I80" s="138">
        <v>79349</v>
      </c>
      <c r="J80" s="139"/>
      <c r="K80" s="138">
        <v>16630</v>
      </c>
      <c r="L80" s="146">
        <v>28269</v>
      </c>
      <c r="M80" s="139">
        <f>SUM(F80+G80+H80+I80+J80+K80+L80)</f>
        <v>719630</v>
      </c>
      <c r="N80" s="143">
        <v>0</v>
      </c>
      <c r="O80" s="117">
        <f>F80*2/190*N80*1.25</f>
        <v>0</v>
      </c>
      <c r="P80" s="136">
        <v>0</v>
      </c>
      <c r="Q80" s="117">
        <f>F80*2/190*P80*1.5</f>
        <v>0</v>
      </c>
      <c r="R80" s="17">
        <v>0</v>
      </c>
      <c r="S80" s="34">
        <v>0</v>
      </c>
      <c r="T80" s="33">
        <v>0</v>
      </c>
      <c r="U80" s="156">
        <f>SUM(M80+O80+Q80+S80+T80)</f>
        <v>719630</v>
      </c>
      <c r="V80" s="42" t="s">
        <v>53</v>
      </c>
      <c r="W80" s="70">
        <v>0.1236</v>
      </c>
      <c r="X80" s="95">
        <f>M80*W80</f>
        <v>88946.267999999996</v>
      </c>
      <c r="Y80" s="212" t="s">
        <v>129</v>
      </c>
      <c r="Z80" s="77">
        <v>0</v>
      </c>
      <c r="AA80" s="231"/>
      <c r="AB80" s="38"/>
      <c r="AC80" s="12"/>
      <c r="AD80" s="38">
        <v>6213</v>
      </c>
      <c r="AE80" s="138">
        <f>X80+AA80+AA81+AC80+AC81+AD80+AD81</f>
        <v>150533.36800000002</v>
      </c>
      <c r="AF80" s="197">
        <f>U80-AE80</f>
        <v>569096.63199999998</v>
      </c>
      <c r="AG80" s="24">
        <f>SUM(M80)*2.21/100</f>
        <v>15903.823</v>
      </c>
    </row>
    <row r="81" spans="1:34">
      <c r="A81" s="22"/>
      <c r="B81" s="8"/>
      <c r="C81" s="13"/>
      <c r="D81" s="13"/>
      <c r="E81" s="13"/>
      <c r="F81" s="129"/>
      <c r="G81" s="131"/>
      <c r="H81" s="129"/>
      <c r="I81" s="132"/>
      <c r="J81" s="142"/>
      <c r="K81" s="132"/>
      <c r="L81" s="147"/>
      <c r="M81" s="139"/>
      <c r="N81" s="131"/>
      <c r="O81" s="132"/>
      <c r="P81" s="129"/>
      <c r="Q81" s="132"/>
      <c r="R81" s="39"/>
      <c r="S81" s="224"/>
      <c r="T81" s="35"/>
      <c r="U81" s="39"/>
      <c r="V81" s="43"/>
      <c r="W81" s="71"/>
      <c r="X81" s="78"/>
      <c r="Y81" s="210"/>
      <c r="Z81" s="217">
        <v>7.0000000000000007E-2</v>
      </c>
      <c r="AA81" s="235">
        <f>M80*Z81</f>
        <v>50374.100000000006</v>
      </c>
      <c r="AB81" s="39"/>
      <c r="AC81" s="14"/>
      <c r="AD81" s="39">
        <v>5000</v>
      </c>
      <c r="AE81" s="14"/>
      <c r="AF81" s="39"/>
      <c r="AG81" s="23"/>
    </row>
    <row r="82" spans="1:34">
      <c r="A82" s="20">
        <v>31</v>
      </c>
      <c r="B82" s="29" t="s">
        <v>46</v>
      </c>
      <c r="C82" s="11" t="s">
        <v>47</v>
      </c>
      <c r="D82" s="11" t="s">
        <v>141</v>
      </c>
      <c r="E82" s="11">
        <v>10</v>
      </c>
      <c r="F82" s="136">
        <v>339860</v>
      </c>
      <c r="G82" s="126">
        <f>F82*1</f>
        <v>339860</v>
      </c>
      <c r="H82" s="136"/>
      <c r="I82" s="134">
        <v>46587</v>
      </c>
      <c r="J82" s="139"/>
      <c r="K82" s="138">
        <v>16630</v>
      </c>
      <c r="L82" s="146">
        <v>31718</v>
      </c>
      <c r="M82" s="135">
        <f>SUM(F82+G82+H82+I82+J82+K82+L82)</f>
        <v>774655</v>
      </c>
      <c r="N82" s="143">
        <v>29</v>
      </c>
      <c r="O82" s="128">
        <f>F82*2/190*N82*1.25</f>
        <v>129683.42105263159</v>
      </c>
      <c r="P82" s="136">
        <v>0</v>
      </c>
      <c r="Q82" s="128">
        <f>F82*2/190*P82*1.5</f>
        <v>0</v>
      </c>
      <c r="R82" s="17">
        <v>0</v>
      </c>
      <c r="S82" s="34">
        <v>0</v>
      </c>
      <c r="T82" s="33">
        <v>0</v>
      </c>
      <c r="U82" s="169">
        <f>SUM(M82+O82+Q82+S82+T82)</f>
        <v>904338.42105263157</v>
      </c>
      <c r="V82" s="42" t="s">
        <v>57</v>
      </c>
      <c r="W82" s="70">
        <v>0.1144</v>
      </c>
      <c r="X82" s="95">
        <f>M82*W82</f>
        <v>88620.532000000007</v>
      </c>
      <c r="Y82" s="42" t="s">
        <v>54</v>
      </c>
      <c r="Z82" s="91">
        <v>7.0000000000000007E-2</v>
      </c>
      <c r="AA82" s="233">
        <f>M82*Z82</f>
        <v>54225.850000000006</v>
      </c>
      <c r="AB82" s="38"/>
      <c r="AC82" s="12"/>
      <c r="AD82" s="38">
        <v>8414</v>
      </c>
      <c r="AE82" s="134">
        <f>X82+AA82+AC82+AC83+AD82+AD83</f>
        <v>151260.38200000001</v>
      </c>
      <c r="AF82" s="197">
        <f>U82-AE82</f>
        <v>753078.03905263159</v>
      </c>
      <c r="AG82" s="18">
        <f>SUM(M82)*2.21/100</f>
        <v>17119.875500000002</v>
      </c>
    </row>
    <row r="83" spans="1:34">
      <c r="A83" s="20"/>
      <c r="B83" s="29"/>
      <c r="C83" s="11"/>
      <c r="D83" s="11"/>
      <c r="E83" s="11"/>
      <c r="F83" s="136"/>
      <c r="G83" s="116"/>
      <c r="H83" s="136"/>
      <c r="I83" s="138"/>
      <c r="J83" s="139"/>
      <c r="K83" s="138"/>
      <c r="L83" s="146"/>
      <c r="M83" s="142"/>
      <c r="N83" s="143"/>
      <c r="O83" s="138"/>
      <c r="P83" s="136"/>
      <c r="Q83" s="138"/>
      <c r="R83" s="38"/>
      <c r="S83" s="34"/>
      <c r="T83" s="33"/>
      <c r="U83" s="38"/>
      <c r="V83" s="42"/>
      <c r="W83" s="70"/>
      <c r="X83" s="77"/>
      <c r="Y83" s="42"/>
      <c r="Z83" s="102"/>
      <c r="AA83" s="231"/>
      <c r="AB83" s="39"/>
      <c r="AC83" s="14"/>
      <c r="AD83" s="39"/>
      <c r="AE83" s="14"/>
      <c r="AF83" s="39"/>
      <c r="AG83" s="21"/>
    </row>
    <row r="84" spans="1:34">
      <c r="A84" s="19">
        <v>32</v>
      </c>
      <c r="B84" s="244" t="s">
        <v>88</v>
      </c>
      <c r="C84" s="9" t="s">
        <v>78</v>
      </c>
      <c r="D84" s="9" t="s">
        <v>144</v>
      </c>
      <c r="E84" s="9">
        <v>15</v>
      </c>
      <c r="F84" s="125">
        <v>200804</v>
      </c>
      <c r="G84" s="126">
        <f>F84*1</f>
        <v>200804</v>
      </c>
      <c r="H84" s="125"/>
      <c r="I84" s="134">
        <v>29494</v>
      </c>
      <c r="J84" s="135"/>
      <c r="K84" s="134">
        <v>16630</v>
      </c>
      <c r="L84" s="148">
        <v>0</v>
      </c>
      <c r="M84" s="135">
        <f>SUM(F84+G84+H84+I84+J84+K84+L84)</f>
        <v>447732</v>
      </c>
      <c r="N84" s="127">
        <v>1</v>
      </c>
      <c r="O84" s="128">
        <f>F84*2/190*N84*1.25</f>
        <v>2642.1578947368421</v>
      </c>
      <c r="P84" s="125">
        <v>0</v>
      </c>
      <c r="Q84" s="128">
        <f>F84*2/190*P84*1.5</f>
        <v>0</v>
      </c>
      <c r="R84" s="10">
        <v>0</v>
      </c>
      <c r="S84" s="223">
        <v>0</v>
      </c>
      <c r="T84" s="32">
        <v>0</v>
      </c>
      <c r="U84" s="169">
        <f>SUM(M84+O84+Q84+S84+T84)</f>
        <v>450374.15789473685</v>
      </c>
      <c r="V84" s="41" t="s">
        <v>99</v>
      </c>
      <c r="W84" s="69">
        <v>0.1077</v>
      </c>
      <c r="X84" s="6">
        <f>M84*W84</f>
        <v>48220.736400000002</v>
      </c>
      <c r="Y84" s="41" t="s">
        <v>54</v>
      </c>
      <c r="Z84" s="103">
        <v>7.0000000000000007E-2</v>
      </c>
      <c r="AA84" s="233">
        <f>M84*Z84</f>
        <v>31341.24</v>
      </c>
      <c r="AB84" s="15"/>
      <c r="AC84" s="16"/>
      <c r="AD84" s="15">
        <v>0</v>
      </c>
      <c r="AE84" s="134">
        <f>X84+AA84+AC84+AD84+AD85</f>
        <v>84561.9764</v>
      </c>
      <c r="AF84" s="228">
        <f>U84-AE84</f>
        <v>365812.18149473687</v>
      </c>
      <c r="AG84" s="18">
        <f>SUM(M84)*2.21/100</f>
        <v>9894.877199999999</v>
      </c>
    </row>
    <row r="85" spans="1:34">
      <c r="A85" s="101"/>
      <c r="B85" s="276"/>
      <c r="C85" s="88"/>
      <c r="D85" s="88"/>
      <c r="E85" s="88"/>
      <c r="F85" s="265"/>
      <c r="G85" s="277"/>
      <c r="H85" s="265"/>
      <c r="I85" s="147"/>
      <c r="J85" s="147"/>
      <c r="K85" s="147"/>
      <c r="L85" s="147"/>
      <c r="M85" s="147"/>
      <c r="N85" s="265"/>
      <c r="O85" s="200"/>
      <c r="P85" s="265"/>
      <c r="Q85" s="200"/>
      <c r="R85" s="266"/>
      <c r="S85" s="267"/>
      <c r="T85" s="267"/>
      <c r="U85" s="257"/>
      <c r="V85" s="258"/>
      <c r="W85" s="278"/>
      <c r="X85" s="184"/>
      <c r="Y85" s="258"/>
      <c r="Z85" s="270"/>
      <c r="AA85" s="235"/>
      <c r="AB85" s="46"/>
      <c r="AC85" s="46">
        <v>0</v>
      </c>
      <c r="AD85" s="46">
        <v>5000</v>
      </c>
      <c r="AE85" s="147"/>
      <c r="AF85" s="200"/>
      <c r="AG85" s="292"/>
      <c r="AH85" s="1"/>
    </row>
    <row r="86" spans="1:34">
      <c r="A86" s="19">
        <v>33</v>
      </c>
      <c r="B86" s="28" t="s">
        <v>49</v>
      </c>
      <c r="C86" s="9" t="s">
        <v>50</v>
      </c>
      <c r="D86" s="9" t="s">
        <v>141</v>
      </c>
      <c r="E86" s="9">
        <v>15</v>
      </c>
      <c r="F86" s="125">
        <v>234965</v>
      </c>
      <c r="G86" s="126">
        <f>F86*1</f>
        <v>234965</v>
      </c>
      <c r="H86" s="125"/>
      <c r="I86" s="134">
        <v>33024</v>
      </c>
      <c r="J86" s="135"/>
      <c r="K86" s="135">
        <v>16630</v>
      </c>
      <c r="L86" s="148">
        <v>81648</v>
      </c>
      <c r="M86" s="135">
        <f>SUM(F86+G86+H86+I86+J86+K86+L86)</f>
        <v>601232</v>
      </c>
      <c r="N86" s="127">
        <v>14</v>
      </c>
      <c r="O86" s="128">
        <f>F86*2/190*N86*1.25</f>
        <v>43283.026315789473</v>
      </c>
      <c r="P86" s="125">
        <v>8</v>
      </c>
      <c r="Q86" s="128">
        <f>F86*2/190*P86*1.5</f>
        <v>29679.78947368421</v>
      </c>
      <c r="R86" s="10">
        <v>0</v>
      </c>
      <c r="S86" s="223">
        <v>0</v>
      </c>
      <c r="T86" s="32">
        <v>0</v>
      </c>
      <c r="U86" s="169">
        <f>SUM(M86+O86+Q86+S86+T86)</f>
        <v>674194.81578947359</v>
      </c>
      <c r="V86" s="68" t="s">
        <v>55</v>
      </c>
      <c r="W86" s="73">
        <v>0.1154</v>
      </c>
      <c r="X86" s="6">
        <f>M86*W86</f>
        <v>69382.1728</v>
      </c>
      <c r="Y86" s="68" t="s">
        <v>54</v>
      </c>
      <c r="Z86" s="103">
        <v>7.0000000000000007E-2</v>
      </c>
      <c r="AA86" s="233">
        <f>M86*Z86</f>
        <v>42086.240000000005</v>
      </c>
      <c r="AB86" s="15"/>
      <c r="AC86" s="16"/>
      <c r="AD86" s="15">
        <v>1477</v>
      </c>
      <c r="AE86" s="134">
        <f>X86+AA86+AC86+AC87+AD86+AD87</f>
        <v>117945.41280000001</v>
      </c>
      <c r="AF86" s="230">
        <f>U86-AE86</f>
        <v>556249.40298947354</v>
      </c>
      <c r="AG86" s="18">
        <f>SUM(M86)*2.21/100</f>
        <v>13287.227199999999</v>
      </c>
    </row>
    <row r="87" spans="1:34">
      <c r="A87" s="22"/>
      <c r="B87" s="8"/>
      <c r="C87" s="13"/>
      <c r="D87" s="13"/>
      <c r="E87" s="13"/>
      <c r="F87" s="129"/>
      <c r="G87" s="130"/>
      <c r="H87" s="129"/>
      <c r="I87" s="132"/>
      <c r="J87" s="142"/>
      <c r="K87" s="142"/>
      <c r="L87" s="147"/>
      <c r="M87" s="142"/>
      <c r="N87" s="131"/>
      <c r="O87" s="132"/>
      <c r="P87" s="129"/>
      <c r="Q87" s="132"/>
      <c r="R87" s="39"/>
      <c r="S87" s="224"/>
      <c r="T87" s="35"/>
      <c r="U87" s="39"/>
      <c r="V87" s="56"/>
      <c r="W87" s="74"/>
      <c r="X87" s="80"/>
      <c r="Y87" s="56"/>
      <c r="Z87" s="275"/>
      <c r="AA87" s="234"/>
      <c r="AB87" s="39"/>
      <c r="AC87" s="14"/>
      <c r="AD87" s="39">
        <v>5000</v>
      </c>
      <c r="AE87" s="14"/>
      <c r="AF87" s="39"/>
      <c r="AG87" s="23"/>
      <c r="AH87" s="1"/>
    </row>
    <row r="88" spans="1:34">
      <c r="A88" s="19">
        <v>34</v>
      </c>
      <c r="B88" s="28" t="s">
        <v>89</v>
      </c>
      <c r="C88" s="9" t="s">
        <v>90</v>
      </c>
      <c r="D88" s="9" t="s">
        <v>141</v>
      </c>
      <c r="E88" s="9">
        <v>15</v>
      </c>
      <c r="F88" s="125">
        <v>224837</v>
      </c>
      <c r="G88" s="126">
        <f>F88*1</f>
        <v>224837</v>
      </c>
      <c r="H88" s="125"/>
      <c r="I88" s="134">
        <v>33024</v>
      </c>
      <c r="J88" s="135"/>
      <c r="K88" s="134">
        <v>16630</v>
      </c>
      <c r="L88" s="148">
        <v>0</v>
      </c>
      <c r="M88" s="135">
        <f>SUM(F88+G88+H88+I88+J88+K88+L88)</f>
        <v>499328</v>
      </c>
      <c r="N88" s="127">
        <v>6</v>
      </c>
      <c r="O88" s="128">
        <f>F88*2/190*N88*1.25</f>
        <v>17750.28947368421</v>
      </c>
      <c r="P88" s="125">
        <v>27</v>
      </c>
      <c r="Q88" s="128">
        <f>F88*2/190*P88*1.5</f>
        <v>95851.56315789475</v>
      </c>
      <c r="R88" s="10">
        <v>0</v>
      </c>
      <c r="S88" s="223">
        <v>0</v>
      </c>
      <c r="T88" s="223">
        <v>0</v>
      </c>
      <c r="U88" s="169">
        <f>SUM(M88+O88+Q88+S88+T88)</f>
        <v>612929.85263157892</v>
      </c>
      <c r="V88" s="68" t="s">
        <v>99</v>
      </c>
      <c r="W88" s="73">
        <v>0.1077</v>
      </c>
      <c r="X88" s="6">
        <f>M88*W88</f>
        <v>53777.625599999999</v>
      </c>
      <c r="Y88" s="68" t="s">
        <v>54</v>
      </c>
      <c r="Z88" s="242">
        <v>7.0000000000000007E-2</v>
      </c>
      <c r="AA88" s="233">
        <f>M88*Z88</f>
        <v>34952.960000000006</v>
      </c>
      <c r="AB88" s="15"/>
      <c r="AC88" s="16"/>
      <c r="AD88" s="15">
        <v>0</v>
      </c>
      <c r="AE88" s="134">
        <f>X88+AA88+AC88+AD88+AD89</f>
        <v>93730.585600000006</v>
      </c>
      <c r="AF88" s="228">
        <f>U88-AE88</f>
        <v>519199.26703157893</v>
      </c>
      <c r="AG88" s="18">
        <f>SUM(M88)*2.21/100</f>
        <v>11035.148799999999</v>
      </c>
      <c r="AH88" s="1"/>
    </row>
    <row r="89" spans="1:34">
      <c r="A89" s="101"/>
      <c r="B89" s="276"/>
      <c r="C89" s="88"/>
      <c r="D89" s="88"/>
      <c r="E89" s="88"/>
      <c r="F89" s="265"/>
      <c r="G89" s="277"/>
      <c r="H89" s="265"/>
      <c r="I89" s="147"/>
      <c r="J89" s="147"/>
      <c r="K89" s="147"/>
      <c r="L89" s="147"/>
      <c r="M89" s="147"/>
      <c r="N89" s="129"/>
      <c r="O89" s="140"/>
      <c r="P89" s="116"/>
      <c r="Q89" s="200"/>
      <c r="R89" s="266"/>
      <c r="S89" s="349"/>
      <c r="T89" s="33"/>
      <c r="U89" s="257"/>
      <c r="V89" s="268"/>
      <c r="W89" s="269"/>
      <c r="X89" s="184"/>
      <c r="Y89" s="56"/>
      <c r="Z89" s="270"/>
      <c r="AA89" s="235"/>
      <c r="AB89" s="46"/>
      <c r="AC89" s="46"/>
      <c r="AD89" s="46">
        <v>5000</v>
      </c>
      <c r="AE89" s="138"/>
      <c r="AF89" s="200"/>
      <c r="AG89" s="293"/>
      <c r="AH89" s="1"/>
    </row>
    <row r="90" spans="1:34">
      <c r="A90" s="19">
        <v>35</v>
      </c>
      <c r="B90" s="28" t="s">
        <v>91</v>
      </c>
      <c r="C90" s="9" t="s">
        <v>92</v>
      </c>
      <c r="D90" s="9" t="s">
        <v>141</v>
      </c>
      <c r="E90" s="9">
        <v>15</v>
      </c>
      <c r="F90" s="125">
        <v>234965</v>
      </c>
      <c r="G90" s="126">
        <f>F90*1</f>
        <v>234965</v>
      </c>
      <c r="H90" s="125"/>
      <c r="I90" s="271">
        <v>33024</v>
      </c>
      <c r="J90" s="125"/>
      <c r="K90" s="271">
        <v>16630</v>
      </c>
      <c r="L90" s="272">
        <v>0</v>
      </c>
      <c r="M90" s="125">
        <f>SUM(F90+G90+H90+I90+J90+K90+L90)</f>
        <v>519584</v>
      </c>
      <c r="N90" s="127">
        <v>0</v>
      </c>
      <c r="O90" s="128">
        <f>F90*2/190*N90*1.25</f>
        <v>0</v>
      </c>
      <c r="P90" s="125">
        <v>0</v>
      </c>
      <c r="Q90" s="128">
        <f>F90*2/190*P90*1.5</f>
        <v>0</v>
      </c>
      <c r="R90" s="10">
        <v>1</v>
      </c>
      <c r="S90" s="223">
        <v>1673</v>
      </c>
      <c r="T90" s="32">
        <v>50000</v>
      </c>
      <c r="U90" s="169">
        <f>SUM(M90+O90+Q90+S90+T90)</f>
        <v>571257</v>
      </c>
      <c r="V90" s="68" t="s">
        <v>55</v>
      </c>
      <c r="W90" s="73">
        <v>0.1154</v>
      </c>
      <c r="X90" s="6">
        <f>M90*W90</f>
        <v>59959.993600000002</v>
      </c>
      <c r="Y90" s="209" t="s">
        <v>129</v>
      </c>
      <c r="Z90" s="273">
        <v>1.6850000000000001</v>
      </c>
      <c r="AA90" s="236">
        <f>Y4*Z90</f>
        <v>40058.195850000004</v>
      </c>
      <c r="AB90" s="15" t="s">
        <v>140</v>
      </c>
      <c r="AC90" s="274">
        <v>406</v>
      </c>
      <c r="AD90" s="15">
        <v>0</v>
      </c>
      <c r="AE90" s="134">
        <f>X90+AA90+AC90+AC91+AD90+AD91</f>
        <v>105424.18945000001</v>
      </c>
      <c r="AF90" s="230">
        <f>U90-AE90</f>
        <v>465832.81054999999</v>
      </c>
      <c r="AG90" s="18">
        <f>SUM(M90)*2.21/100</f>
        <v>11482.806399999999</v>
      </c>
      <c r="AH90" s="1"/>
    </row>
    <row r="91" spans="1:34" ht="13.5" thickBot="1">
      <c r="A91" s="113"/>
      <c r="B91" s="294"/>
      <c r="C91" s="61"/>
      <c r="D91" s="61"/>
      <c r="E91" s="61"/>
      <c r="F91" s="155"/>
      <c r="G91" s="295"/>
      <c r="H91" s="155"/>
      <c r="I91" s="295"/>
      <c r="J91" s="155"/>
      <c r="K91" s="295"/>
      <c r="L91" s="296"/>
      <c r="M91" s="155"/>
      <c r="N91" s="154"/>
      <c r="O91" s="295"/>
      <c r="P91" s="155"/>
      <c r="Q91" s="295"/>
      <c r="R91" s="27"/>
      <c r="S91" s="237"/>
      <c r="T91" s="36"/>
      <c r="U91" s="297"/>
      <c r="V91" s="298"/>
      <c r="W91" s="299"/>
      <c r="X91" s="300"/>
      <c r="Y91" s="298"/>
      <c r="Z91" s="301">
        <v>7.0000000000000007E-2</v>
      </c>
      <c r="AA91" s="302"/>
      <c r="AB91" s="297"/>
      <c r="AC91" s="303"/>
      <c r="AD91" s="297">
        <v>5000</v>
      </c>
      <c r="AE91" s="303"/>
      <c r="AF91" s="297"/>
      <c r="AG91" s="304"/>
      <c r="AH91" s="1"/>
    </row>
    <row r="92" spans="1:34">
      <c r="A92" s="58"/>
      <c r="B92" s="59"/>
      <c r="C92" s="40" t="s">
        <v>1</v>
      </c>
      <c r="D92" s="40"/>
      <c r="E92" s="47"/>
      <c r="F92" s="288">
        <f t="shared" ref="F92:AG92" si="0">SUM(F5:F91)</f>
        <v>10730896</v>
      </c>
      <c r="G92" s="288">
        <f t="shared" si="0"/>
        <v>10730896</v>
      </c>
      <c r="H92" s="226">
        <f t="shared" si="0"/>
        <v>262936</v>
      </c>
      <c r="I92" s="226">
        <f t="shared" si="0"/>
        <v>1472358.6</v>
      </c>
      <c r="J92" s="226">
        <f t="shared" si="0"/>
        <v>0</v>
      </c>
      <c r="K92" s="226">
        <f t="shared" si="0"/>
        <v>582050</v>
      </c>
      <c r="L92" s="226">
        <f t="shared" si="0"/>
        <v>1957504</v>
      </c>
      <c r="M92" s="226">
        <f t="shared" si="0"/>
        <v>25736640.600000001</v>
      </c>
      <c r="N92" s="226">
        <f t="shared" si="0"/>
        <v>257</v>
      </c>
      <c r="O92" s="226">
        <f t="shared" si="0"/>
        <v>1043329.4999999997</v>
      </c>
      <c r="P92" s="226">
        <f t="shared" si="0"/>
        <v>138</v>
      </c>
      <c r="Q92" s="226">
        <f t="shared" si="0"/>
        <v>531851.5894736842</v>
      </c>
      <c r="R92" s="226">
        <f t="shared" si="0"/>
        <v>8</v>
      </c>
      <c r="S92" s="226">
        <f t="shared" si="0"/>
        <v>5019</v>
      </c>
      <c r="T92" s="226">
        <f t="shared" si="0"/>
        <v>350000</v>
      </c>
      <c r="U92" s="226">
        <f t="shared" si="0"/>
        <v>27666840.689473685</v>
      </c>
      <c r="V92" s="226">
        <f t="shared" si="0"/>
        <v>0</v>
      </c>
      <c r="W92" s="226">
        <f t="shared" si="0"/>
        <v>4.0587000000000009</v>
      </c>
      <c r="X92" s="226">
        <f t="shared" si="0"/>
        <v>2990916.1909399997</v>
      </c>
      <c r="Y92" s="226">
        <f t="shared" si="0"/>
        <v>0</v>
      </c>
      <c r="Z92" s="226">
        <f t="shared" si="0"/>
        <v>24.259000000000007</v>
      </c>
      <c r="AA92" s="226">
        <f t="shared" si="0"/>
        <v>1831663.9104000004</v>
      </c>
      <c r="AB92" s="226">
        <f t="shared" si="0"/>
        <v>0</v>
      </c>
      <c r="AC92" s="226">
        <f t="shared" si="0"/>
        <v>1307763</v>
      </c>
      <c r="AD92" s="226">
        <f t="shared" si="0"/>
        <v>462024</v>
      </c>
      <c r="AE92" s="226">
        <f t="shared" si="0"/>
        <v>6592367.1013399987</v>
      </c>
      <c r="AF92" s="226">
        <f t="shared" si="0"/>
        <v>21074473.588133685</v>
      </c>
      <c r="AG92" s="226">
        <f t="shared" si="0"/>
        <v>568779.75725999998</v>
      </c>
      <c r="AH92" s="227"/>
    </row>
    <row r="93" spans="1:34" ht="13.5" thickBot="1">
      <c r="A93" s="25"/>
      <c r="B93" s="60"/>
      <c r="C93" s="26"/>
      <c r="D93" s="26"/>
      <c r="E93" s="26"/>
      <c r="F93" s="149"/>
      <c r="G93" s="150"/>
      <c r="H93" s="151"/>
      <c r="I93" s="152"/>
      <c r="J93" s="153"/>
      <c r="K93" s="149"/>
      <c r="L93" s="151"/>
      <c r="M93" s="1"/>
      <c r="N93" s="154"/>
      <c r="O93" s="150"/>
      <c r="P93" s="155"/>
      <c r="Q93" s="151"/>
      <c r="R93" s="65"/>
      <c r="S93" s="238"/>
      <c r="T93" s="237"/>
      <c r="U93" s="237"/>
      <c r="V93" s="61"/>
      <c r="W93" s="75"/>
      <c r="X93" s="62"/>
      <c r="Y93" s="113"/>
      <c r="Z93" s="61"/>
      <c r="AA93" s="36"/>
      <c r="AB93" s="27"/>
      <c r="AC93" s="27"/>
      <c r="AD93" s="237"/>
      <c r="AE93" s="237"/>
      <c r="AF93" s="36"/>
      <c r="AG93" s="49"/>
      <c r="AH93" s="1"/>
    </row>
    <row r="94" spans="1:3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8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2" t="s">
        <v>61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8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8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>
      <c r="A97" s="1"/>
      <c r="B97" s="1"/>
      <c r="C97" s="1" t="s">
        <v>61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81"/>
      <c r="Y97" s="1"/>
      <c r="Z97" s="1"/>
      <c r="AA97" s="1"/>
      <c r="AB97" s="1"/>
      <c r="AC97" s="1"/>
      <c r="AD97" s="1"/>
      <c r="AE97" s="1"/>
      <c r="AF97" s="1"/>
      <c r="AG97" s="1"/>
      <c r="AH97" s="1"/>
    </row>
  </sheetData>
  <phoneticPr fontId="2" type="noConversion"/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PLANTA</vt:lpstr>
      <vt:lpstr>PLAZO</vt:lpstr>
    </vt:vector>
  </TitlesOfParts>
  <Company>Windows XP Colossus Edition 2 Reloaded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LEICA</dc:creator>
  <cp:lastModifiedBy>Alejandro</cp:lastModifiedBy>
  <cp:lastPrinted>2014-10-27T19:04:18Z</cp:lastPrinted>
  <dcterms:created xsi:type="dcterms:W3CDTF">2013-12-04T20:28:53Z</dcterms:created>
  <dcterms:modified xsi:type="dcterms:W3CDTF">2015-05-13T20:36:02Z</dcterms:modified>
</cp:coreProperties>
</file>